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Planuri_de_Invatamant_2019-2020\11. Facultatea de Teatru si Televiziune\"/>
    </mc:Choice>
  </mc:AlternateContent>
  <bookViews>
    <workbookView xWindow="0" yWindow="0" windowWidth="28800" windowHeight="1143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N159" i="1" l="1"/>
  <c r="M159" i="1"/>
  <c r="L159" i="1"/>
  <c r="K159" i="1"/>
  <c r="U158" i="1"/>
  <c r="T158" i="1"/>
  <c r="S158" i="1"/>
  <c r="R158" i="1"/>
  <c r="N158" i="1"/>
  <c r="M158" i="1"/>
  <c r="L158" i="1"/>
  <c r="K158" i="1"/>
  <c r="J158" i="1"/>
  <c r="Q100" i="1"/>
  <c r="O100" i="1"/>
  <c r="J101" i="1"/>
  <c r="K101" i="1"/>
  <c r="L101" i="1"/>
  <c r="M101" i="1"/>
  <c r="N101" i="1"/>
  <c r="P100" i="1" l="1"/>
  <c r="N271" i="1" l="1"/>
  <c r="M271" i="1"/>
  <c r="L271" i="1"/>
  <c r="K271" i="1"/>
  <c r="J271" i="1"/>
  <c r="A271" i="1"/>
  <c r="N270" i="1"/>
  <c r="M270" i="1"/>
  <c r="L270" i="1"/>
  <c r="K270" i="1"/>
  <c r="J270" i="1"/>
  <c r="A270" i="1"/>
  <c r="N269" i="1"/>
  <c r="M269" i="1"/>
  <c r="L269" i="1"/>
  <c r="K269" i="1"/>
  <c r="J269" i="1"/>
  <c r="A269" i="1"/>
  <c r="N268" i="1"/>
  <c r="M268" i="1"/>
  <c r="L268" i="1"/>
  <c r="K268" i="1"/>
  <c r="J268" i="1"/>
  <c r="A268" i="1"/>
  <c r="N267" i="1"/>
  <c r="M267" i="1"/>
  <c r="L267" i="1"/>
  <c r="K267" i="1"/>
  <c r="J267" i="1"/>
  <c r="A267" i="1"/>
  <c r="N255" i="1"/>
  <c r="M255" i="1"/>
  <c r="L255" i="1"/>
  <c r="K255" i="1"/>
  <c r="J255" i="1"/>
  <c r="A255" i="1"/>
  <c r="N254" i="1"/>
  <c r="M254" i="1"/>
  <c r="L254" i="1"/>
  <c r="K254" i="1"/>
  <c r="J254" i="1"/>
  <c r="A254" i="1"/>
  <c r="N253" i="1"/>
  <c r="M253" i="1"/>
  <c r="L253" i="1"/>
  <c r="K253" i="1"/>
  <c r="J253" i="1"/>
  <c r="A253" i="1"/>
  <c r="N250" i="1"/>
  <c r="M250" i="1"/>
  <c r="L250" i="1"/>
  <c r="K250" i="1"/>
  <c r="J250" i="1"/>
  <c r="A250" i="1"/>
  <c r="N249" i="1"/>
  <c r="M249" i="1"/>
  <c r="L249" i="1"/>
  <c r="K249" i="1"/>
  <c r="J249" i="1"/>
  <c r="A249" i="1"/>
  <c r="N248" i="1"/>
  <c r="M248" i="1"/>
  <c r="L248" i="1"/>
  <c r="K248" i="1"/>
  <c r="J248" i="1"/>
  <c r="A248" i="1"/>
  <c r="N247" i="1"/>
  <c r="M247" i="1"/>
  <c r="L247" i="1"/>
  <c r="K247" i="1"/>
  <c r="J247" i="1"/>
  <c r="A247" i="1"/>
  <c r="N246" i="1"/>
  <c r="M246" i="1"/>
  <c r="L246" i="1"/>
  <c r="K246" i="1"/>
  <c r="J246" i="1"/>
  <c r="A246" i="1"/>
  <c r="N245" i="1"/>
  <c r="M245" i="1"/>
  <c r="L245" i="1"/>
  <c r="K245" i="1"/>
  <c r="J245" i="1"/>
  <c r="A245" i="1"/>
  <c r="N244" i="1"/>
  <c r="M244" i="1"/>
  <c r="L244" i="1"/>
  <c r="K244" i="1"/>
  <c r="J244" i="1"/>
  <c r="A244" i="1"/>
  <c r="N243" i="1"/>
  <c r="M243" i="1"/>
  <c r="L243" i="1"/>
  <c r="K243" i="1"/>
  <c r="J243" i="1"/>
  <c r="A243" i="1"/>
  <c r="N242" i="1"/>
  <c r="M242" i="1"/>
  <c r="L242" i="1"/>
  <c r="K242" i="1"/>
  <c r="J242" i="1"/>
  <c r="A242" i="1"/>
  <c r="N241" i="1"/>
  <c r="M241" i="1"/>
  <c r="L241" i="1"/>
  <c r="K241" i="1"/>
  <c r="J241" i="1"/>
  <c r="A241" i="1"/>
  <c r="N240" i="1"/>
  <c r="M240" i="1"/>
  <c r="L240" i="1"/>
  <c r="K240" i="1"/>
  <c r="J240" i="1"/>
  <c r="A240" i="1"/>
  <c r="N239" i="1"/>
  <c r="M239" i="1"/>
  <c r="L239" i="1"/>
  <c r="K239" i="1"/>
  <c r="J239" i="1"/>
  <c r="A239" i="1"/>
  <c r="N238" i="1"/>
  <c r="M238" i="1"/>
  <c r="L238" i="1"/>
  <c r="K238" i="1"/>
  <c r="J238" i="1"/>
  <c r="A238" i="1"/>
  <c r="N237" i="1"/>
  <c r="M237" i="1"/>
  <c r="L237" i="1"/>
  <c r="K237" i="1"/>
  <c r="J237" i="1"/>
  <c r="A237" i="1"/>
  <c r="N236" i="1"/>
  <c r="M236" i="1"/>
  <c r="L236" i="1"/>
  <c r="K236" i="1"/>
  <c r="J236" i="1"/>
  <c r="A236" i="1"/>
  <c r="N235" i="1"/>
  <c r="M235" i="1"/>
  <c r="L235" i="1"/>
  <c r="K235" i="1"/>
  <c r="J235" i="1"/>
  <c r="A235" i="1"/>
  <c r="N223" i="1"/>
  <c r="M223" i="1"/>
  <c r="L223" i="1"/>
  <c r="K223" i="1"/>
  <c r="J223" i="1"/>
  <c r="A223" i="1"/>
  <c r="N222" i="1"/>
  <c r="M222" i="1"/>
  <c r="L222" i="1"/>
  <c r="K222" i="1"/>
  <c r="J222" i="1"/>
  <c r="A222" i="1"/>
  <c r="N221" i="1"/>
  <c r="M221" i="1"/>
  <c r="L221" i="1"/>
  <c r="K221" i="1"/>
  <c r="J221" i="1"/>
  <c r="A221" i="1"/>
  <c r="N218" i="1"/>
  <c r="M218" i="1"/>
  <c r="L218" i="1"/>
  <c r="K218" i="1"/>
  <c r="J218" i="1"/>
  <c r="A218" i="1"/>
  <c r="N217" i="1"/>
  <c r="M217" i="1"/>
  <c r="L217" i="1"/>
  <c r="K217" i="1"/>
  <c r="J217" i="1"/>
  <c r="A217" i="1"/>
  <c r="N216" i="1"/>
  <c r="M216" i="1"/>
  <c r="L216" i="1"/>
  <c r="K216" i="1"/>
  <c r="J216" i="1"/>
  <c r="A216" i="1"/>
  <c r="N215" i="1"/>
  <c r="M215" i="1"/>
  <c r="L215" i="1"/>
  <c r="K215" i="1"/>
  <c r="J215" i="1"/>
  <c r="A215" i="1"/>
  <c r="N214" i="1"/>
  <c r="M214" i="1"/>
  <c r="L214" i="1"/>
  <c r="K214" i="1"/>
  <c r="J214" i="1"/>
  <c r="A214" i="1"/>
  <c r="N213" i="1"/>
  <c r="M213" i="1"/>
  <c r="L213" i="1"/>
  <c r="K213" i="1"/>
  <c r="J213" i="1"/>
  <c r="A213" i="1"/>
  <c r="U198" i="1"/>
  <c r="T198" i="1"/>
  <c r="S198" i="1"/>
  <c r="R198" i="1"/>
  <c r="U197" i="1"/>
  <c r="T197" i="1"/>
  <c r="S197" i="1"/>
  <c r="R197" i="1"/>
  <c r="U196" i="1"/>
  <c r="T196" i="1"/>
  <c r="S196" i="1"/>
  <c r="R196" i="1"/>
  <c r="U195" i="1"/>
  <c r="T195" i="1"/>
  <c r="S195" i="1"/>
  <c r="R195" i="1"/>
  <c r="U194" i="1"/>
  <c r="T194" i="1"/>
  <c r="S194" i="1"/>
  <c r="R194" i="1"/>
  <c r="U193" i="1"/>
  <c r="T193" i="1"/>
  <c r="S193" i="1"/>
  <c r="R193" i="1"/>
  <c r="U192" i="1"/>
  <c r="T192" i="1"/>
  <c r="S192" i="1"/>
  <c r="R192" i="1"/>
  <c r="U191" i="1"/>
  <c r="T191" i="1"/>
  <c r="S191" i="1"/>
  <c r="R191" i="1"/>
  <c r="U190" i="1"/>
  <c r="T190" i="1"/>
  <c r="S190" i="1"/>
  <c r="R190" i="1"/>
  <c r="N198" i="1"/>
  <c r="M198" i="1"/>
  <c r="L198" i="1"/>
  <c r="K198" i="1"/>
  <c r="J198" i="1"/>
  <c r="A198" i="1"/>
  <c r="N197" i="1"/>
  <c r="M197" i="1"/>
  <c r="L197" i="1"/>
  <c r="K197" i="1"/>
  <c r="J197" i="1"/>
  <c r="A197" i="1"/>
  <c r="N196" i="1"/>
  <c r="M196" i="1"/>
  <c r="L196" i="1"/>
  <c r="K196" i="1"/>
  <c r="J196" i="1"/>
  <c r="A196" i="1"/>
  <c r="N195" i="1"/>
  <c r="M195" i="1"/>
  <c r="L195" i="1"/>
  <c r="K195" i="1"/>
  <c r="J195" i="1"/>
  <c r="A195" i="1"/>
  <c r="N194" i="1"/>
  <c r="M194" i="1"/>
  <c r="L194" i="1"/>
  <c r="K194" i="1"/>
  <c r="J194" i="1"/>
  <c r="A194" i="1"/>
  <c r="N193" i="1"/>
  <c r="M193" i="1"/>
  <c r="L193" i="1"/>
  <c r="K193" i="1"/>
  <c r="J193" i="1"/>
  <c r="A193" i="1"/>
  <c r="N192" i="1"/>
  <c r="M192" i="1"/>
  <c r="L192" i="1"/>
  <c r="K192" i="1"/>
  <c r="J192" i="1"/>
  <c r="A192" i="1"/>
  <c r="N191" i="1"/>
  <c r="M191" i="1"/>
  <c r="L191" i="1"/>
  <c r="K191" i="1"/>
  <c r="J191" i="1"/>
  <c r="A191" i="1"/>
  <c r="N190" i="1"/>
  <c r="M190" i="1"/>
  <c r="L190" i="1"/>
  <c r="K190" i="1"/>
  <c r="J190" i="1"/>
  <c r="A190" i="1"/>
  <c r="Q174" i="1"/>
  <c r="O174" i="1"/>
  <c r="P174" i="1" l="1"/>
  <c r="U255" i="1" l="1"/>
  <c r="T255" i="1"/>
  <c r="S255" i="1"/>
  <c r="R255" i="1"/>
  <c r="U254" i="1"/>
  <c r="T254" i="1"/>
  <c r="S254" i="1"/>
  <c r="R254" i="1"/>
  <c r="U250" i="1"/>
  <c r="T250" i="1"/>
  <c r="S250" i="1"/>
  <c r="R250" i="1"/>
  <c r="U249" i="1"/>
  <c r="T249" i="1"/>
  <c r="S249" i="1"/>
  <c r="R249" i="1"/>
  <c r="U248" i="1"/>
  <c r="T248" i="1"/>
  <c r="S248" i="1"/>
  <c r="R248" i="1"/>
  <c r="U247" i="1"/>
  <c r="T247" i="1"/>
  <c r="S247" i="1"/>
  <c r="R247" i="1"/>
  <c r="U246" i="1"/>
  <c r="T246" i="1"/>
  <c r="S246" i="1"/>
  <c r="R246" i="1"/>
  <c r="U245" i="1"/>
  <c r="T245" i="1"/>
  <c r="S245" i="1"/>
  <c r="R245" i="1"/>
  <c r="U244" i="1"/>
  <c r="T244" i="1"/>
  <c r="S244" i="1"/>
  <c r="R244" i="1"/>
  <c r="U243" i="1"/>
  <c r="T243" i="1"/>
  <c r="S243" i="1"/>
  <c r="R243" i="1"/>
  <c r="U242" i="1"/>
  <c r="T242" i="1"/>
  <c r="S242" i="1"/>
  <c r="R242" i="1"/>
  <c r="U241" i="1"/>
  <c r="T241" i="1"/>
  <c r="S241" i="1"/>
  <c r="R241" i="1"/>
  <c r="U240" i="1"/>
  <c r="T240" i="1"/>
  <c r="S240" i="1"/>
  <c r="R240" i="1"/>
  <c r="U239" i="1"/>
  <c r="T239" i="1"/>
  <c r="S239" i="1"/>
  <c r="R239" i="1"/>
  <c r="U179" i="1" l="1"/>
  <c r="U274" i="1" l="1"/>
  <c r="T274" i="1"/>
  <c r="S274" i="1"/>
  <c r="R274" i="1"/>
  <c r="Q274" i="1"/>
  <c r="P274" i="1"/>
  <c r="O274" i="1"/>
  <c r="N274" i="1"/>
  <c r="N275" i="1" s="1"/>
  <c r="M274" i="1"/>
  <c r="L274" i="1"/>
  <c r="K274" i="1"/>
  <c r="J274" i="1"/>
  <c r="U271" i="1"/>
  <c r="T271" i="1"/>
  <c r="S271" i="1"/>
  <c r="R271" i="1"/>
  <c r="U270" i="1"/>
  <c r="T270" i="1"/>
  <c r="S270" i="1"/>
  <c r="R270" i="1"/>
  <c r="U269" i="1"/>
  <c r="T269" i="1"/>
  <c r="S269" i="1"/>
  <c r="R269" i="1"/>
  <c r="U268" i="1"/>
  <c r="T268" i="1"/>
  <c r="S268" i="1"/>
  <c r="R268" i="1"/>
  <c r="U267" i="1"/>
  <c r="T267" i="1"/>
  <c r="S267" i="1"/>
  <c r="R267" i="1"/>
  <c r="U253" i="1"/>
  <c r="T253" i="1"/>
  <c r="S253" i="1"/>
  <c r="R253" i="1"/>
  <c r="U238" i="1"/>
  <c r="T238" i="1"/>
  <c r="S238" i="1"/>
  <c r="R238" i="1"/>
  <c r="U237" i="1"/>
  <c r="T237" i="1"/>
  <c r="S237" i="1"/>
  <c r="R237" i="1"/>
  <c r="U236" i="1"/>
  <c r="T236" i="1"/>
  <c r="S236" i="1"/>
  <c r="R236" i="1"/>
  <c r="U235" i="1"/>
  <c r="T235" i="1"/>
  <c r="S235" i="1"/>
  <c r="R235" i="1"/>
  <c r="U223" i="1"/>
  <c r="T223" i="1"/>
  <c r="S223" i="1"/>
  <c r="R223" i="1"/>
  <c r="U222" i="1"/>
  <c r="T222" i="1"/>
  <c r="S222" i="1"/>
  <c r="R222" i="1"/>
  <c r="U221" i="1"/>
  <c r="T221" i="1"/>
  <c r="S221" i="1"/>
  <c r="R221" i="1"/>
  <c r="U218" i="1"/>
  <c r="T218" i="1"/>
  <c r="S218" i="1"/>
  <c r="R218" i="1"/>
  <c r="U217" i="1"/>
  <c r="T217" i="1"/>
  <c r="S217" i="1"/>
  <c r="R217" i="1"/>
  <c r="U216" i="1"/>
  <c r="T216" i="1"/>
  <c r="S216" i="1"/>
  <c r="R216" i="1"/>
  <c r="U215" i="1"/>
  <c r="T215" i="1"/>
  <c r="S215" i="1"/>
  <c r="R215" i="1"/>
  <c r="U214" i="1"/>
  <c r="T214" i="1"/>
  <c r="S214" i="1"/>
  <c r="R214" i="1"/>
  <c r="U213" i="1"/>
  <c r="T213" i="1"/>
  <c r="S213" i="1"/>
  <c r="R213" i="1"/>
  <c r="U201" i="1"/>
  <c r="T201" i="1"/>
  <c r="S201" i="1"/>
  <c r="R201" i="1"/>
  <c r="Q201" i="1"/>
  <c r="P201" i="1"/>
  <c r="O201" i="1"/>
  <c r="N201" i="1"/>
  <c r="M201" i="1"/>
  <c r="L201" i="1"/>
  <c r="K201" i="1"/>
  <c r="J201" i="1"/>
  <c r="N180" i="1"/>
  <c r="N179" i="1"/>
  <c r="O178" i="1"/>
  <c r="O176" i="1"/>
  <c r="O172" i="1"/>
  <c r="Q172" i="1"/>
  <c r="O170" i="1"/>
  <c r="O168" i="1"/>
  <c r="O157" i="1"/>
  <c r="O156" i="1"/>
  <c r="O155" i="1"/>
  <c r="O153" i="1"/>
  <c r="O152" i="1"/>
  <c r="O151" i="1"/>
  <c r="O149" i="1"/>
  <c r="O148" i="1"/>
  <c r="O130" i="1"/>
  <c r="O255" i="1" s="1"/>
  <c r="O129" i="1"/>
  <c r="O254" i="1" s="1"/>
  <c r="O128" i="1"/>
  <c r="O253" i="1" s="1"/>
  <c r="O127" i="1"/>
  <c r="O223" i="1" s="1"/>
  <c r="O126" i="1"/>
  <c r="O222" i="1" s="1"/>
  <c r="O125" i="1"/>
  <c r="O221" i="1" s="1"/>
  <c r="N131" i="1"/>
  <c r="N117" i="1"/>
  <c r="O116" i="1"/>
  <c r="O250" i="1" s="1"/>
  <c r="O115" i="1"/>
  <c r="O249" i="1" s="1"/>
  <c r="O114" i="1"/>
  <c r="O248" i="1" s="1"/>
  <c r="O113" i="1"/>
  <c r="O247" i="1" s="1"/>
  <c r="O112" i="1"/>
  <c r="O198" i="1" s="1"/>
  <c r="O111" i="1"/>
  <c r="O218" i="1" s="1"/>
  <c r="O99" i="1"/>
  <c r="O246" i="1" s="1"/>
  <c r="O98" i="1"/>
  <c r="O245" i="1" s="1"/>
  <c r="O97" i="1"/>
  <c r="O197" i="1" s="1"/>
  <c r="O96" i="1"/>
  <c r="O244" i="1" s="1"/>
  <c r="O95" i="1"/>
  <c r="O243" i="1" s="1"/>
  <c r="O94" i="1"/>
  <c r="O242" i="1" s="1"/>
  <c r="O93" i="1"/>
  <c r="N82" i="1"/>
  <c r="O81" i="1"/>
  <c r="O80" i="1"/>
  <c r="O241" i="1" s="1"/>
  <c r="O79" i="1"/>
  <c r="O240" i="1" s="1"/>
  <c r="O78" i="1"/>
  <c r="O195" i="1" s="1"/>
  <c r="O77" i="1"/>
  <c r="O239" i="1" s="1"/>
  <c r="O76" i="1"/>
  <c r="O238" i="1" s="1"/>
  <c r="O75" i="1"/>
  <c r="O47" i="1"/>
  <c r="O268" i="1" s="1"/>
  <c r="O46" i="1"/>
  <c r="O236" i="1" s="1"/>
  <c r="O45" i="1"/>
  <c r="O44" i="1"/>
  <c r="O43" i="1"/>
  <c r="O192" i="1" s="1"/>
  <c r="O42" i="1"/>
  <c r="O41" i="1"/>
  <c r="O191" i="1" s="1"/>
  <c r="O62" i="1"/>
  <c r="O271" i="1" s="1"/>
  <c r="O61" i="1"/>
  <c r="O193" i="1" s="1"/>
  <c r="O60" i="1"/>
  <c r="O217" i="1" s="1"/>
  <c r="O59" i="1"/>
  <c r="O216" i="1" s="1"/>
  <c r="O58" i="1"/>
  <c r="O215" i="1" s="1"/>
  <c r="O57" i="1"/>
  <c r="O214" i="1" s="1"/>
  <c r="N63" i="1"/>
  <c r="O56" i="1"/>
  <c r="O237" i="1" s="1"/>
  <c r="N48" i="1"/>
  <c r="O40" i="1"/>
  <c r="O190" i="1" s="1"/>
  <c r="O158" i="1" l="1"/>
  <c r="O159" i="1"/>
  <c r="O101" i="1"/>
  <c r="S5" i="1" s="1"/>
  <c r="O270" i="1"/>
  <c r="O194" i="1"/>
  <c r="O196" i="1"/>
  <c r="O269" i="1"/>
  <c r="N224" i="1"/>
  <c r="N202" i="1"/>
  <c r="N256" i="1"/>
  <c r="N199" i="1"/>
  <c r="N219" i="1"/>
  <c r="N251" i="1"/>
  <c r="N272" i="1"/>
  <c r="N276" i="1" s="1"/>
  <c r="O63" i="1"/>
  <c r="S4" i="1" s="1"/>
  <c r="O82" i="1"/>
  <c r="P5" i="1" s="1"/>
  <c r="O117" i="1"/>
  <c r="P6" i="1" s="1"/>
  <c r="P172" i="1"/>
  <c r="O213" i="1"/>
  <c r="O235" i="1"/>
  <c r="O267" i="1"/>
  <c r="Q130" i="1"/>
  <c r="Q255" i="1" s="1"/>
  <c r="Q129" i="1"/>
  <c r="Q254" i="1" s="1"/>
  <c r="Q128" i="1"/>
  <c r="Q253" i="1" s="1"/>
  <c r="Q127" i="1"/>
  <c r="Q223" i="1" s="1"/>
  <c r="Q126" i="1"/>
  <c r="Q222" i="1" s="1"/>
  <c r="Q168" i="1"/>
  <c r="Q170" i="1"/>
  <c r="Q176" i="1"/>
  <c r="Q178" i="1"/>
  <c r="J179" i="1"/>
  <c r="K179" i="1"/>
  <c r="L179" i="1"/>
  <c r="M179" i="1"/>
  <c r="R179" i="1"/>
  <c r="S179" i="1"/>
  <c r="T179" i="1"/>
  <c r="K180" i="1"/>
  <c r="L180" i="1"/>
  <c r="M180" i="1"/>
  <c r="Q47" i="1"/>
  <c r="N226" i="1" l="1"/>
  <c r="N277" i="1"/>
  <c r="N204" i="1"/>
  <c r="N203" i="1"/>
  <c r="N258" i="1"/>
  <c r="K181" i="1"/>
  <c r="N225" i="1"/>
  <c r="N257" i="1"/>
  <c r="Q180" i="1"/>
  <c r="Q179" i="1"/>
  <c r="O179" i="1"/>
  <c r="U256" i="1"/>
  <c r="U272" i="1"/>
  <c r="U251" i="1"/>
  <c r="U219" i="1"/>
  <c r="P168" i="1"/>
  <c r="U224" i="1"/>
  <c r="U199" i="1"/>
  <c r="O180" i="1"/>
  <c r="P178" i="1"/>
  <c r="P176" i="1"/>
  <c r="P170" i="1"/>
  <c r="P47" i="1"/>
  <c r="U101" i="1"/>
  <c r="U131" i="1"/>
  <c r="U117" i="1"/>
  <c r="U82" i="1"/>
  <c r="U63" i="1"/>
  <c r="U48" i="1"/>
  <c r="T308" i="1"/>
  <c r="S308" i="1"/>
  <c r="R308" i="1"/>
  <c r="M309" i="1"/>
  <c r="L309" i="1"/>
  <c r="K309" i="1"/>
  <c r="M308" i="1"/>
  <c r="L308" i="1"/>
  <c r="K308" i="1"/>
  <c r="J308" i="1"/>
  <c r="Q307" i="1"/>
  <c r="O307" i="1"/>
  <c r="Q306" i="1"/>
  <c r="O306" i="1"/>
  <c r="Q304" i="1"/>
  <c r="O304" i="1"/>
  <c r="Q303" i="1"/>
  <c r="O303" i="1"/>
  <c r="Q301" i="1"/>
  <c r="O301" i="1"/>
  <c r="Q299" i="1"/>
  <c r="O299" i="1"/>
  <c r="Q297" i="1"/>
  <c r="O297" i="1"/>
  <c r="Q295" i="1"/>
  <c r="O295" i="1"/>
  <c r="V31" i="1"/>
  <c r="V8" i="1"/>
  <c r="V6" i="1"/>
  <c r="V5" i="1"/>
  <c r="V4" i="1"/>
  <c r="Q309" i="1" l="1"/>
  <c r="U257" i="1"/>
  <c r="K260" i="1" s="1"/>
  <c r="U276" i="1"/>
  <c r="K279" i="1" s="1"/>
  <c r="U203" i="1"/>
  <c r="K206" i="1" s="1"/>
  <c r="U225" i="1"/>
  <c r="K228" i="1" s="1"/>
  <c r="K182" i="1"/>
  <c r="K161" i="1"/>
  <c r="P179" i="1"/>
  <c r="P180" i="1"/>
  <c r="O181" i="1" s="1"/>
  <c r="O309" i="1"/>
  <c r="Q308" i="1"/>
  <c r="O308" i="1"/>
  <c r="P303" i="1"/>
  <c r="P304" i="1"/>
  <c r="P299" i="1"/>
  <c r="P307" i="1"/>
  <c r="K310" i="1"/>
  <c r="P295" i="1"/>
  <c r="P301" i="1"/>
  <c r="P297" i="1"/>
  <c r="P306" i="1"/>
  <c r="T48" i="1"/>
  <c r="S48" i="1"/>
  <c r="R48" i="1"/>
  <c r="T63" i="1"/>
  <c r="S63" i="1"/>
  <c r="R63" i="1"/>
  <c r="V33" i="1"/>
  <c r="V32" i="1"/>
  <c r="V303" i="1" l="1"/>
  <c r="V305" i="1" s="1"/>
  <c r="V48" i="1"/>
  <c r="P309" i="1"/>
  <c r="O310" i="1" s="1"/>
  <c r="P308" i="1"/>
  <c r="V63" i="1"/>
  <c r="A274" i="1" l="1"/>
  <c r="A201" i="1"/>
  <c r="Q43" i="1" l="1"/>
  <c r="Q192" i="1" s="1"/>
  <c r="T275" i="1"/>
  <c r="S275" i="1"/>
  <c r="R275" i="1"/>
  <c r="M275" i="1"/>
  <c r="L275" i="1"/>
  <c r="K275" i="1"/>
  <c r="J275" i="1"/>
  <c r="T272" i="1"/>
  <c r="S272" i="1"/>
  <c r="R272" i="1"/>
  <c r="M272" i="1"/>
  <c r="L272" i="1"/>
  <c r="K272" i="1"/>
  <c r="J272" i="1"/>
  <c r="T256" i="1"/>
  <c r="S256" i="1"/>
  <c r="R256" i="1"/>
  <c r="M256" i="1"/>
  <c r="L256" i="1"/>
  <c r="K256" i="1"/>
  <c r="J256" i="1"/>
  <c r="T251" i="1"/>
  <c r="S251" i="1"/>
  <c r="R251" i="1"/>
  <c r="M251" i="1"/>
  <c r="L251" i="1"/>
  <c r="K251" i="1"/>
  <c r="J251" i="1"/>
  <c r="T224" i="1"/>
  <c r="S224" i="1"/>
  <c r="R224" i="1"/>
  <c r="M224" i="1"/>
  <c r="L224" i="1"/>
  <c r="K224" i="1"/>
  <c r="J224" i="1"/>
  <c r="T219" i="1"/>
  <c r="S219" i="1"/>
  <c r="R219" i="1"/>
  <c r="M219" i="1"/>
  <c r="L219" i="1"/>
  <c r="K219" i="1"/>
  <c r="J219" i="1"/>
  <c r="T202" i="1"/>
  <c r="S202" i="1"/>
  <c r="R202" i="1"/>
  <c r="M202" i="1"/>
  <c r="L202" i="1"/>
  <c r="K202" i="1"/>
  <c r="J202" i="1"/>
  <c r="Q155" i="1"/>
  <c r="Q153" i="1"/>
  <c r="J131" i="1"/>
  <c r="Q157" i="1"/>
  <c r="Q149" i="1"/>
  <c r="Q151" i="1"/>
  <c r="Q156" i="1"/>
  <c r="Q111" i="1"/>
  <c r="Q218" i="1" s="1"/>
  <c r="Q112" i="1"/>
  <c r="Q198" i="1" s="1"/>
  <c r="Q113" i="1"/>
  <c r="Q247" i="1" s="1"/>
  <c r="Q114" i="1"/>
  <c r="Q248" i="1" s="1"/>
  <c r="Q115" i="1"/>
  <c r="Q249" i="1" s="1"/>
  <c r="Q116" i="1"/>
  <c r="Q250" i="1" s="1"/>
  <c r="J117" i="1"/>
  <c r="K117" i="1"/>
  <c r="L117" i="1"/>
  <c r="M117" i="1"/>
  <c r="R117" i="1"/>
  <c r="S117" i="1"/>
  <c r="T117" i="1"/>
  <c r="Q125" i="1"/>
  <c r="Q221" i="1" s="1"/>
  <c r="K131" i="1"/>
  <c r="L131" i="1"/>
  <c r="M131" i="1"/>
  <c r="R131" i="1"/>
  <c r="S131" i="1"/>
  <c r="T131" i="1"/>
  <c r="Q61" i="1"/>
  <c r="Q193" i="1" s="1"/>
  <c r="Q60" i="1"/>
  <c r="Q217" i="1" s="1"/>
  <c r="Q46" i="1"/>
  <c r="Q236" i="1" s="1"/>
  <c r="Q152" i="1"/>
  <c r="Q148" i="1"/>
  <c r="T101" i="1"/>
  <c r="S101" i="1"/>
  <c r="R101" i="1"/>
  <c r="Q99" i="1"/>
  <c r="Q246" i="1" s="1"/>
  <c r="Q98" i="1"/>
  <c r="Q245" i="1" s="1"/>
  <c r="Q97" i="1"/>
  <c r="Q197" i="1" s="1"/>
  <c r="Q96" i="1"/>
  <c r="Q244" i="1" s="1"/>
  <c r="Q95" i="1"/>
  <c r="Q243" i="1" s="1"/>
  <c r="Q94" i="1"/>
  <c r="Q242" i="1" s="1"/>
  <c r="Q93" i="1"/>
  <c r="T82" i="1"/>
  <c r="S82" i="1"/>
  <c r="R82" i="1"/>
  <c r="M82" i="1"/>
  <c r="L82" i="1"/>
  <c r="K82" i="1"/>
  <c r="J82" i="1"/>
  <c r="Q81" i="1"/>
  <c r="Q268" i="1" s="1"/>
  <c r="Q80" i="1"/>
  <c r="Q241" i="1" s="1"/>
  <c r="Q79" i="1"/>
  <c r="Q240" i="1" s="1"/>
  <c r="Q78" i="1"/>
  <c r="Q195" i="1" s="1"/>
  <c r="Q77" i="1"/>
  <c r="Q76" i="1"/>
  <c r="Q238" i="1" s="1"/>
  <c r="Q75" i="1"/>
  <c r="M63" i="1"/>
  <c r="L63" i="1"/>
  <c r="K63" i="1"/>
  <c r="J63" i="1"/>
  <c r="Q62" i="1"/>
  <c r="Q59" i="1"/>
  <c r="Q216" i="1" s="1"/>
  <c r="Q58" i="1"/>
  <c r="Q215" i="1" s="1"/>
  <c r="Q57" i="1"/>
  <c r="Q214" i="1" s="1"/>
  <c r="Q56" i="1"/>
  <c r="Q45" i="1"/>
  <c r="K48" i="1"/>
  <c r="Q44" i="1"/>
  <c r="Q42" i="1"/>
  <c r="Q41" i="1"/>
  <c r="Q191" i="1" s="1"/>
  <c r="Q40" i="1"/>
  <c r="Q190" i="1" s="1"/>
  <c r="M48" i="1"/>
  <c r="L48" i="1"/>
  <c r="J48" i="1"/>
  <c r="Q158" i="1" l="1"/>
  <c r="Q159" i="1"/>
  <c r="Q196" i="1"/>
  <c r="Q101" i="1"/>
  <c r="Q267" i="1"/>
  <c r="Q271" i="1"/>
  <c r="Q270" i="1"/>
  <c r="Q269" i="1"/>
  <c r="Q235" i="1"/>
  <c r="P77" i="1"/>
  <c r="P239" i="1" s="1"/>
  <c r="Q239" i="1"/>
  <c r="Q237" i="1"/>
  <c r="K160" i="1"/>
  <c r="Q213" i="1"/>
  <c r="Q194" i="1"/>
  <c r="Q82" i="1"/>
  <c r="Q117" i="1"/>
  <c r="S285" i="1"/>
  <c r="S287" i="1" s="1"/>
  <c r="P78" i="1"/>
  <c r="P195" i="1" s="1"/>
  <c r="P80" i="1"/>
  <c r="P241" i="1" s="1"/>
  <c r="U285" i="1"/>
  <c r="U287" i="1" s="1"/>
  <c r="P155" i="1"/>
  <c r="V82" i="1"/>
  <c r="P151" i="1"/>
  <c r="P61" i="1"/>
  <c r="P193" i="1" s="1"/>
  <c r="P114" i="1"/>
  <c r="P248" i="1" s="1"/>
  <c r="P57" i="1"/>
  <c r="P214" i="1" s="1"/>
  <c r="P58" i="1"/>
  <c r="P215" i="1" s="1"/>
  <c r="P59" i="1"/>
  <c r="P216" i="1" s="1"/>
  <c r="V131" i="1"/>
  <c r="V117" i="1"/>
  <c r="V101" i="1"/>
  <c r="T225" i="1"/>
  <c r="J276" i="1"/>
  <c r="M225" i="1"/>
  <c r="M276" i="1"/>
  <c r="K276" i="1"/>
  <c r="S276" i="1"/>
  <c r="L257" i="1"/>
  <c r="K277" i="1"/>
  <c r="J225" i="1"/>
  <c r="L225" i="1"/>
  <c r="R225" i="1"/>
  <c r="K226" i="1"/>
  <c r="M226" i="1"/>
  <c r="S225" i="1"/>
  <c r="M258" i="1"/>
  <c r="S257" i="1"/>
  <c r="M277" i="1"/>
  <c r="O256" i="1"/>
  <c r="O251" i="1"/>
  <c r="O224" i="1"/>
  <c r="O275" i="1"/>
  <c r="O202" i="1"/>
  <c r="Q63" i="1"/>
  <c r="P94" i="1"/>
  <c r="P242" i="1" s="1"/>
  <c r="P96" i="1"/>
  <c r="P244" i="1" s="1"/>
  <c r="P98" i="1"/>
  <c r="P245" i="1" s="1"/>
  <c r="P148" i="1"/>
  <c r="P152" i="1"/>
  <c r="P128" i="1"/>
  <c r="P253" i="1" s="1"/>
  <c r="P127" i="1"/>
  <c r="P223" i="1" s="1"/>
  <c r="P126" i="1"/>
  <c r="P222" i="1" s="1"/>
  <c r="P116" i="1"/>
  <c r="P250" i="1" s="1"/>
  <c r="P156" i="1"/>
  <c r="P149" i="1"/>
  <c r="Q256" i="1"/>
  <c r="Q224" i="1"/>
  <c r="Q275" i="1"/>
  <c r="L226" i="1"/>
  <c r="P43" i="1"/>
  <c r="P192" i="1" s="1"/>
  <c r="P46" i="1"/>
  <c r="P236" i="1" s="1"/>
  <c r="O48" i="1"/>
  <c r="P4" i="1" s="1"/>
  <c r="V3" i="1" s="1"/>
  <c r="P40" i="1"/>
  <c r="P190" i="1" s="1"/>
  <c r="P45" i="1"/>
  <c r="J257" i="1"/>
  <c r="L258" i="1"/>
  <c r="R257" i="1"/>
  <c r="T257" i="1"/>
  <c r="R276" i="1"/>
  <c r="M199" i="1"/>
  <c r="M203" i="1" s="1"/>
  <c r="K199" i="1"/>
  <c r="K203" i="1" s="1"/>
  <c r="S199" i="1"/>
  <c r="S203" i="1" s="1"/>
  <c r="L199" i="1"/>
  <c r="L203" i="1" s="1"/>
  <c r="R199" i="1"/>
  <c r="R203" i="1" s="1"/>
  <c r="T199" i="1"/>
  <c r="T203" i="1" s="1"/>
  <c r="P75" i="1"/>
  <c r="J199" i="1"/>
  <c r="P42" i="1"/>
  <c r="T276" i="1"/>
  <c r="Q131" i="1"/>
  <c r="Q48" i="1"/>
  <c r="P44" i="1"/>
  <c r="P56" i="1"/>
  <c r="P41" i="1"/>
  <c r="P191" i="1" s="1"/>
  <c r="P62" i="1"/>
  <c r="P76" i="1"/>
  <c r="P238" i="1" s="1"/>
  <c r="P79" i="1"/>
  <c r="P240" i="1" s="1"/>
  <c r="P81" i="1"/>
  <c r="P268" i="1" s="1"/>
  <c r="P93" i="1"/>
  <c r="P95" i="1"/>
  <c r="P243" i="1" s="1"/>
  <c r="P97" i="1"/>
  <c r="P197" i="1" s="1"/>
  <c r="P99" i="1"/>
  <c r="P246" i="1" s="1"/>
  <c r="J286" i="1"/>
  <c r="P60" i="1"/>
  <c r="P217" i="1" s="1"/>
  <c r="P130" i="1"/>
  <c r="P255" i="1" s="1"/>
  <c r="P129" i="1"/>
  <c r="P254" i="1" s="1"/>
  <c r="O131" i="1"/>
  <c r="P115" i="1"/>
  <c r="P249" i="1" s="1"/>
  <c r="P113" i="1"/>
  <c r="P247" i="1" s="1"/>
  <c r="P112" i="1"/>
  <c r="P198" i="1" s="1"/>
  <c r="P111" i="1"/>
  <c r="P218" i="1" s="1"/>
  <c r="P157" i="1"/>
  <c r="P153" i="1"/>
  <c r="P125" i="1"/>
  <c r="P221" i="1" s="1"/>
  <c r="K225" i="1"/>
  <c r="M257" i="1"/>
  <c r="T285" i="1"/>
  <c r="T287" i="1" s="1"/>
  <c r="K258" i="1"/>
  <c r="K257" i="1"/>
  <c r="L276" i="1"/>
  <c r="L277" i="1"/>
  <c r="P159" i="1" l="1"/>
  <c r="P158" i="1"/>
  <c r="P235" i="1"/>
  <c r="P271" i="1"/>
  <c r="P237" i="1"/>
  <c r="P196" i="1"/>
  <c r="P101" i="1"/>
  <c r="P267" i="1"/>
  <c r="P270" i="1"/>
  <c r="P269" i="1"/>
  <c r="P213" i="1"/>
  <c r="P194" i="1"/>
  <c r="K183" i="1"/>
  <c r="S6" i="1"/>
  <c r="V9" i="1" s="1"/>
  <c r="K259" i="1"/>
  <c r="K261" i="1" s="1"/>
  <c r="K227" i="1"/>
  <c r="K229" i="1" s="1"/>
  <c r="K278" i="1"/>
  <c r="K280" i="1" s="1"/>
  <c r="K162" i="1"/>
  <c r="Q202" i="1"/>
  <c r="P202" i="1"/>
  <c r="Q272" i="1"/>
  <c r="Q251" i="1"/>
  <c r="Q219" i="1"/>
  <c r="Q225" i="1" s="1"/>
  <c r="O272" i="1"/>
  <c r="O277" i="1" s="1"/>
  <c r="L286" i="1"/>
  <c r="J285" i="1"/>
  <c r="J203" i="1"/>
  <c r="H286" i="1"/>
  <c r="Q199" i="1"/>
  <c r="K204" i="1"/>
  <c r="P275" i="1"/>
  <c r="P256" i="1"/>
  <c r="P224" i="1"/>
  <c r="O257" i="1"/>
  <c r="O258" i="1"/>
  <c r="O219" i="1"/>
  <c r="O199" i="1"/>
  <c r="O203" i="1" s="1"/>
  <c r="M204" i="1"/>
  <c r="P131" i="1"/>
  <c r="L204" i="1"/>
  <c r="P63" i="1"/>
  <c r="P117" i="1"/>
  <c r="P48" i="1"/>
  <c r="P82" i="1"/>
  <c r="P251" i="1" l="1"/>
  <c r="P272" i="1"/>
  <c r="P276" i="1" s="1"/>
  <c r="O286" i="1"/>
  <c r="V286" i="1" s="1"/>
  <c r="Q204" i="1"/>
  <c r="Q226" i="1"/>
  <c r="K205" i="1"/>
  <c r="K207" i="1" s="1"/>
  <c r="V304" i="1" s="1"/>
  <c r="V306" i="1" s="1"/>
  <c r="O285" i="1"/>
  <c r="Q276" i="1"/>
  <c r="Q277" i="1"/>
  <c r="O276" i="1"/>
  <c r="Q257" i="1"/>
  <c r="Q258" i="1"/>
  <c r="L285" i="1"/>
  <c r="L287" i="1" s="1"/>
  <c r="O160" i="1"/>
  <c r="Q203" i="1"/>
  <c r="P219" i="1"/>
  <c r="P226" i="1" s="1"/>
  <c r="P199" i="1"/>
  <c r="P204" i="1" s="1"/>
  <c r="P258" i="1"/>
  <c r="O259" i="1" s="1"/>
  <c r="P277" i="1"/>
  <c r="O278" i="1" s="1"/>
  <c r="P257" i="1"/>
  <c r="O226" i="1"/>
  <c r="O225" i="1"/>
  <c r="H285" i="1"/>
  <c r="H287" i="1" s="1"/>
  <c r="Q286" i="1" s="1"/>
  <c r="O204" i="1"/>
  <c r="J287" i="1"/>
  <c r="O227" i="1" l="1"/>
  <c r="O287" i="1"/>
  <c r="O205" i="1"/>
  <c r="P203" i="1"/>
  <c r="P225" i="1"/>
  <c r="Q285" i="1"/>
  <c r="Q287" i="1" s="1"/>
</calcChain>
</file>

<file path=xl/comments1.xml><?xml version="1.0" encoding="utf-8"?>
<comments xmlns="http://schemas.openxmlformats.org/spreadsheetml/2006/main">
  <authors>
    <author>Windows User</author>
    <author>Gelu Gherghin</author>
  </authors>
  <commentList>
    <comment ref="A4" authorId="0" shapeId="0">
      <text>
        <r>
          <rPr>
            <b/>
            <sz val="9"/>
            <color indexed="81"/>
            <rFont val="Tahoma"/>
            <family val="2"/>
            <charset val="238"/>
          </rPr>
          <t xml:space="preserve">Gelu Gherghin:
</t>
        </r>
        <r>
          <rPr>
            <sz val="9"/>
            <color indexed="10"/>
            <rFont val="Tahoma"/>
            <family val="2"/>
            <charset val="238"/>
          </rPr>
          <t>Se introduce numele facultății</t>
        </r>
      </text>
    </comment>
    <comment ref="P4" authorId="1" shapeId="0">
      <text>
        <r>
          <rPr>
            <b/>
            <sz val="9"/>
            <color indexed="81"/>
            <rFont val="Tahoma"/>
            <family val="2"/>
            <charset val="238"/>
          </rPr>
          <t xml:space="preserve">Gelu Gherghin:
</t>
        </r>
        <r>
          <rPr>
            <b/>
            <sz val="9"/>
            <color indexed="10"/>
            <rFont val="Tahoma"/>
            <family val="2"/>
            <charset val="238"/>
          </rPr>
          <t xml:space="preserve">Date preluate automat din tabelele cu discipline pe semestre. Nu introduceți manual.
</t>
        </r>
        <r>
          <rPr>
            <sz val="9"/>
            <color indexed="10"/>
            <rFont val="Tahoma"/>
            <family val="2"/>
            <charset val="238"/>
          </rPr>
          <t xml:space="preserve">
Valoarea de minim 22 ore/săptămână se aplică majorității domeniilor, dar unele standarde specifice prevăd alte valori. Verificați standardul domeniului dumneavoastră.</t>
        </r>
      </text>
    </comment>
    <comment ref="S4" authorId="1"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P5" authorId="1"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5" authorId="1"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6"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numele domeniului, conform ultimului nomenclator publicat</t>
        </r>
      </text>
    </comment>
    <comment ref="P6" authorId="1"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S6" authorId="1"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 xml:space="preserve">Date preluate automat din tabelele cu discipline pe semestre. Nu introduceți manual.
</t>
        </r>
        <r>
          <rPr>
            <sz val="9"/>
            <color indexed="10"/>
            <rFont val="Tahoma"/>
            <family val="2"/>
            <charset val="238"/>
          </rPr>
          <t>Valoarea de minim 22 ore/săptămână se aplică majorității domeniilor, dar unele standarde specifice prevăd alte valori. Verificați standardul domeniului dumneavoastră.</t>
        </r>
      </text>
    </comment>
    <comment ref="A9"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limba de predare, așa cum apare în H.G. -ul din care luați denumirea programului</t>
        </r>
      </text>
    </comment>
    <comment ref="A10" authorId="0"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Se introduce titlul absolventului, conform ultimului H.G. referitor la titluri publicat</t>
        </r>
      </text>
    </comment>
    <comment ref="A16" authorId="0" shapeId="0">
      <text>
        <r>
          <rPr>
            <b/>
            <sz val="9"/>
            <color indexed="81"/>
            <rFont val="Tahoma"/>
            <family val="2"/>
            <charset val="238"/>
          </rPr>
          <t xml:space="preserve">Gelu Gherghin:
</t>
        </r>
        <r>
          <rPr>
            <sz val="9"/>
            <color indexed="10"/>
            <rFont val="Tahoma"/>
            <family val="2"/>
            <charset val="238"/>
          </rPr>
          <t xml:space="preserve">nr. credite obligatorii + nr. credite opționale trebuie să dea 180
</t>
        </r>
      </text>
    </comment>
    <comment ref="A19" authorId="0" shapeId="0">
      <text>
        <r>
          <rPr>
            <b/>
            <sz val="9"/>
            <color indexed="81"/>
            <rFont val="Tahoma"/>
            <family val="2"/>
            <charset val="238"/>
          </rPr>
          <t xml:space="preserve">Gelu Gherghin:
</t>
        </r>
        <r>
          <rPr>
            <sz val="9"/>
            <color indexed="10"/>
            <rFont val="Tahoma"/>
            <family val="2"/>
            <charset val="238"/>
          </rPr>
          <t>În cazul în care creditele alocate Limbii străine sunt suplimentare celor 180, rândul referitor la aceasta trebuie mutat mai jos de "Și"</t>
        </r>
        <r>
          <rPr>
            <sz val="9"/>
            <color indexed="81"/>
            <rFont val="Tahoma"/>
            <family val="2"/>
            <charset val="238"/>
          </rPr>
          <t xml:space="preserve">
</t>
        </r>
      </text>
    </comment>
    <comment ref="A21"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Numărul de credite la examenul de licență depinde de numărul probelor.</t>
        </r>
      </text>
    </comment>
    <comment ref="M29" authorId="1" shapeId="0">
      <text>
        <r>
          <rPr>
            <b/>
            <sz val="9"/>
            <color indexed="81"/>
            <rFont val="Tahoma"/>
            <charset val="1"/>
          </rPr>
          <t>Gelu Gherghin:</t>
        </r>
        <r>
          <rPr>
            <sz val="9"/>
            <color indexed="81"/>
            <rFont val="Tahoma"/>
            <charset val="1"/>
          </rPr>
          <t xml:space="preserve">
</t>
        </r>
        <r>
          <rPr>
            <sz val="9"/>
            <color indexed="10"/>
            <rFont val="Tahoma"/>
            <family val="2"/>
            <charset val="238"/>
          </rPr>
          <t>Introduceți cel puțin trei denumiri de instituții europene de învățământ superior</t>
        </r>
      </text>
    </comment>
    <comment ref="O38"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38"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38"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47"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54"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54"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54"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62"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legat de disciplina Educație Fizică. Cele două credite pentru această disciplină trebuie alocate suplimentar celor 30 de credite ale semestrului.</t>
        </r>
      </text>
    </comment>
    <comment ref="O73"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73"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73"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81"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83" authorId="1" shapeId="0">
      <text>
        <r>
          <rPr>
            <b/>
            <sz val="9"/>
            <color indexed="81"/>
            <rFont val="Tahoma"/>
            <family val="2"/>
            <charset val="238"/>
          </rPr>
          <t xml:space="preserve">Gelu Gherghin: 
</t>
        </r>
        <r>
          <rPr>
            <sz val="9"/>
            <color indexed="10"/>
            <rFont val="Tahoma"/>
            <family val="2"/>
            <charset val="238"/>
          </rPr>
          <t xml:space="preserve">Treceți aici toate limbilie străine pe care studenții le pot alege, împreună cu codurile aferente. ACESTEA SUNT LIMBILE STRĂINE DIN OFERTA DLSS, CU CODURILE AFERENTE SEMESTRULUI III. </t>
        </r>
        <r>
          <rPr>
            <b/>
            <sz val="9"/>
            <color indexed="10"/>
            <rFont val="Tahoma"/>
            <family val="2"/>
            <charset val="238"/>
          </rPr>
          <t>DACĂ LA ACEASTĂ SPECIALIZARE LIMBA STRĂINĂ SE STUDIAZĂ ÎN ALT SEMESTRU, ATUNCI VĂ ROG SĂ FACEȚI MODIFICĂRILE NECESARE.</t>
        </r>
      </text>
    </comment>
    <comment ref="O91"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91"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U91"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00"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Nu modificați nimic în acest rând alocat Limbii străine și nu introduceți alte rânduri pentru fiecare limba străină. Cel mult se poate introduce un cod generic, dar NU codurile și denumirile tuturor limbilor. Acestea se vor detalia în primul rând de sub tabel</t>
        </r>
      </text>
    </comment>
    <comment ref="A102" authorId="1" shapeId="0">
      <text>
        <r>
          <rPr>
            <b/>
            <sz val="9"/>
            <color indexed="81"/>
            <rFont val="Tahoma"/>
            <family val="2"/>
            <charset val="238"/>
          </rPr>
          <t xml:space="preserve">Gelu Gherghin: 
</t>
        </r>
        <r>
          <rPr>
            <sz val="9"/>
            <color indexed="10"/>
            <rFont val="Tahoma"/>
            <family val="2"/>
            <charset val="238"/>
          </rPr>
          <t>Treceți aici toate limbilie străine pe care studenții le pot alege, împreună cu codurile aferente. ACESTEA SUNT LIMBILE STRĂINE DIN OFERTA DLSS, CU CODURILE AFERENTE SEMESTRULUI IV. D</t>
        </r>
        <r>
          <rPr>
            <b/>
            <sz val="9"/>
            <color indexed="10"/>
            <rFont val="Tahoma"/>
            <family val="2"/>
            <charset val="238"/>
          </rPr>
          <t>ACĂ LA ACEASTĂ SPECIALIZARE LIMBA STRĂINĂ SE STUDIAZĂ ÎN ALT SEMESTRU, ATUNCI VĂ ROG SĂ FACEȚI MODIFICĂRILE NECESARE.</t>
        </r>
      </text>
    </comment>
    <comment ref="O109"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09"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O123"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23"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fiecare disciplină alegeți o singură formă de evaluare. Conform regulamentului ECTS, cel puțin 50% dintre disciplinele unui semestru  trebuie evaluate prin Examen (adică E&gt;= C+VP)</t>
        </r>
      </text>
    </comment>
    <comment ref="A144"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ca o disciplină să fie opțională, fiecare pachet trebuie să conțină cel puțin </t>
        </r>
        <r>
          <rPr>
            <i/>
            <sz val="9"/>
            <color indexed="10"/>
            <rFont val="Tahoma"/>
            <family val="2"/>
            <charset val="238"/>
          </rPr>
          <t>n+1</t>
        </r>
        <r>
          <rPr>
            <sz val="9"/>
            <color indexed="10"/>
            <rFont val="Tahoma"/>
            <family val="2"/>
            <charset val="238"/>
          </rPr>
          <t xml:space="preserve"> opțiuni, unde </t>
        </r>
        <r>
          <rPr>
            <i/>
            <sz val="9"/>
            <color indexed="10"/>
            <rFont val="Tahoma"/>
            <family val="2"/>
            <charset val="238"/>
          </rPr>
          <t>n</t>
        </r>
        <r>
          <rPr>
            <sz val="9"/>
            <color indexed="10"/>
            <rFont val="Tahoma"/>
            <family val="2"/>
            <charset val="238"/>
          </rPr>
          <t xml:space="preserve"> este numărul de discipline care se aleg din pachet. În caz contrar, opționalul este, de fapt, obligatoriu. De exemplu, dacă dintr-un pachet se alege o disciplină, trebuie să existe cel puțin 2 discipline/pachet; dacă se aleg două, trebuie cel puțin 3 discipline/pachet, etc.</t>
        </r>
      </text>
    </comment>
    <comment ref="J145"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TOATE DISCIPLINELE DINTR-UN PACHET TREBUIE SĂ AIBĂ ACELAȘI NUMĂR DE CREDITE (încât un student să poată acumula 30  de credite/semestru,  indiferent de opțiune)</t>
        </r>
      </text>
    </comment>
    <comment ref="O145"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45"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45"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SE RECOMANDA CA TOATE DISCIPLINELE DINTR-UN PACHET DE OPȚIONALE SĂ FIE DE ACELAȘI TIP. 
În caz contrar, în tabelele din anexa planului de învățământ pachetul va fi raportat în tabelul aferent tipului de curs care se regăsește cel mai frecvent în pachet. 
De exemplu, un pachet cu 2 DF și 1 DS se va raporta în tabelul DF. Un pachet cu 2 DF și 4 DS se va raporta în tabelul DS. </t>
        </r>
      </text>
    </comment>
    <comment ref="A147"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0"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A154"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Pachetele optionale vor primi la cod litera X în locul limbii de predare. De exemplu: MLX0001, MLX0002, MLX0003, etc. pentru Facultatea de Matematică și Informatică</t>
        </r>
      </text>
    </comment>
    <comment ref="R159" authorId="1"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ATENȚIE!</t>
        </r>
        <r>
          <rPr>
            <sz val="9"/>
            <color indexed="10"/>
            <rFont val="Tahoma"/>
            <family val="2"/>
            <charset val="238"/>
          </rPr>
          <t xml:space="preserve">
Formulele de total/coloană și de procent opționale sunt implementate pentru situația tipică în care se alege o singură disciplină din fiecare cele șase pachete.
Dacă se adaugă pachete suplimentare sau în situația particulară în care dintr-un pachet se alege mai mult de o disciplină, acest lucru trebuie să se reflecte în formulele de total pe coloane și în formula de calcul al procentului.</t>
        </r>
      </text>
    </comment>
    <comment ref="A162" authorId="1" shapeId="0">
      <text>
        <r>
          <rPr>
            <b/>
            <sz val="9"/>
            <color indexed="81"/>
            <rFont val="Tahoma"/>
            <family val="2"/>
            <charset val="238"/>
          </rPr>
          <t>Gelu Gherghin:</t>
        </r>
        <r>
          <rPr>
            <sz val="9"/>
            <color indexed="81"/>
            <rFont val="Tahoma"/>
            <family val="2"/>
            <charset val="238"/>
          </rPr>
          <t xml:space="preserve">
</t>
        </r>
        <r>
          <rPr>
            <b/>
            <sz val="9"/>
            <color indexed="10"/>
            <rFont val="Tahoma"/>
            <family val="2"/>
            <charset val="238"/>
          </rPr>
          <t>Procentul de ore fizice trebuie să se încadreze în intervalul impus de standardul ARACIS specific domeniului în care se încadrează specializarea.</t>
        </r>
        <r>
          <rPr>
            <sz val="9"/>
            <color indexed="10"/>
            <rFont val="Tahoma"/>
            <family val="2"/>
            <charset val="238"/>
          </rPr>
          <t xml:space="preserve"> Dacă nu se obține o valoare între aceste limite, va trebui să introduceți opțiuni suplimentare: fie pachete suplimentare, fie posibilitatea ca studenâii să aleagă mai multe discipine din fiecare pachet.</t>
        </r>
      </text>
    </comment>
    <comment ref="A164"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Disciplinele facultative se trec doar în acest tabel! 
Ele nu vor apărea nici în tabelele cu discipline pe semestre, nici în tabelele cu tipuri de discipline (DF, DS, DC, DD, DCOU). 
De asemenea, numărul de discipline/ore/credite alocate facultativelor nu se iau în considerare în calcularea procentelor din celelalte tabele și nici la Bilanțul general.
</t>
        </r>
        <r>
          <rPr>
            <b/>
            <sz val="9"/>
            <color indexed="10"/>
            <rFont val="Tahoma"/>
            <family val="2"/>
            <charset val="238"/>
          </rPr>
          <t>Dacă nu aveți deloc discipline facultative, ștergeți acest tabel cu totul.</t>
        </r>
      </text>
    </comment>
    <comment ref="O165"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În coloanele orelor alocate studiului (F, I,T) sunt formule de calcul. Nu interveniți în aceste celule, valorile se vor calcula automat.</t>
        </r>
      </text>
    </comment>
    <comment ref="R165"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Pentru fiecare disciplină alegeți o singură formă de evaluare. </t>
        </r>
      </text>
    </comment>
    <comment ref="U165"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Alegeți Tipul disciplinei din standardul specific ARACIS</t>
        </r>
      </text>
    </comment>
    <comment ref="A182"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190" authorId="1"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06"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09"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 xml:space="preserve">Acest tabel se va utiliza numai pentru domeniile pentru care standardele specifice prevăd Discipline de Domeniu (DD): 
Științe inginerești, Științe economice, Arte, Educație fizică și sport, Științe sociale, politice și ale comunicării.
</t>
        </r>
        <r>
          <rPr>
            <b/>
            <sz val="9"/>
            <color indexed="10"/>
            <rFont val="Tahoma"/>
            <family val="2"/>
            <charset val="238"/>
          </rPr>
          <t>Dacă programul de studii nu este incadrat într-unul din domeniile care au DD, ștergeți acest tabel cu totul din planul de învățământ.</t>
        </r>
      </text>
    </comment>
    <comment ref="B213" authorId="1"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28"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B235" authorId="1" shapeId="0">
      <text>
        <r>
          <rPr>
            <b/>
            <sz val="9"/>
            <color indexed="81"/>
            <rFont val="Tahoma"/>
            <family val="2"/>
            <charset val="238"/>
          </rPr>
          <t xml:space="preserve">Gelu Gherghin:
</t>
        </r>
        <r>
          <rPr>
            <sz val="9"/>
            <color indexed="81"/>
            <rFont val="Tahoma"/>
            <family val="2"/>
            <charset val="238"/>
          </rPr>
          <t xml:space="preserve">
</t>
        </r>
        <r>
          <rPr>
            <sz val="9"/>
            <color indexed="10"/>
            <rFont val="Tahoma"/>
            <family val="2"/>
            <charset val="238"/>
          </rPr>
          <t xml:space="preserve">ÎN ACEST TABEL NU SE INTRODUC DATE DIN TASTATURA. 
Pentru a completa tabelul, veți proceda astfel:
În fiecare celulă din coloana marcată cu galben veți alege cu mouse-ul o disciplină din lista celor deja introduse în tabelele aferente semestrelor. Datele  respectivei discipline vor apărea automat și în acest tabel, deoarece celulele coloanelor J,K,L,M,N,O,P,Q,R,S,T conțin formule de preluare automată. 
</t>
        </r>
        <r>
          <rPr>
            <b/>
            <sz val="9"/>
            <color indexed="10"/>
            <rFont val="Tahoma"/>
            <family val="2"/>
            <charset val="238"/>
          </rPr>
          <t>Dacă inserați rânduri noi în tabel, copiați conținutul unui rând existent în rândul nou, pentru a avea formulele de preluare automată și în noile rânduri.</t>
        </r>
      </text>
    </comment>
    <comment ref="A260"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A279"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Pentru ca procentul calculat automat să fie corect, ștergeți toate rândurile din tabel rămase necompletate.</t>
        </r>
      </text>
    </comment>
    <comment ref="S286"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1 + 2</t>
        </r>
      </text>
    </comment>
    <comment ref="T286"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3 + 4</t>
        </r>
      </text>
    </comment>
    <comment ref="U286"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Introduceți manual suma creditelor la disciplinele opționale din semestrele 5 + 6</t>
        </r>
      </text>
    </comment>
    <comment ref="A291" authorId="1" shapeId="0">
      <text>
        <r>
          <rPr>
            <b/>
            <sz val="9"/>
            <color indexed="81"/>
            <rFont val="Tahoma"/>
            <family val="2"/>
            <charset val="238"/>
          </rPr>
          <t>Gelu Gherghin:</t>
        </r>
        <r>
          <rPr>
            <sz val="9"/>
            <color indexed="81"/>
            <rFont val="Tahoma"/>
            <family val="2"/>
            <charset val="238"/>
          </rPr>
          <t xml:space="preserve">
</t>
        </r>
        <r>
          <rPr>
            <sz val="9"/>
            <color indexed="10"/>
            <rFont val="Tahoma"/>
            <family val="2"/>
            <charset val="238"/>
          </rPr>
          <t>Recomandăm ca tabelul cu Modulul Pedagogic să fie trecut pe o pagină separată, după Bilanțul General.</t>
        </r>
      </text>
    </comment>
    <comment ref="B301" authorId="1" shapeId="0">
      <text>
        <r>
          <rPr>
            <b/>
            <sz val="9"/>
            <color indexed="81"/>
            <rFont val="Tahoma"/>
            <family val="2"/>
            <charset val="238"/>
          </rPr>
          <t xml:space="preserve">Gelu Gherghin:
</t>
        </r>
        <r>
          <rPr>
            <sz val="9"/>
            <color indexed="81"/>
            <rFont val="Tahoma"/>
            <family val="2"/>
            <charset val="238"/>
          </rPr>
          <t xml:space="preserve">
</t>
        </r>
        <r>
          <rPr>
            <b/>
            <sz val="9"/>
            <color indexed="10"/>
            <rFont val="Tahoma"/>
            <family val="2"/>
            <charset val="238"/>
          </rPr>
          <t>Alegeți o singură disciplină, într-o singură limbă de predare, din lista de didactici de mai jos. Vă rugăm să nu faceți alte modificări în tabel.</t>
        </r>
        <r>
          <rPr>
            <sz val="9"/>
            <color indexed="81"/>
            <rFont val="Tahoma"/>
            <family val="2"/>
            <charset val="238"/>
          </rPr>
          <t xml:space="preserve">
Didactica specialităţii:
Didactica limbii şi literaturii maghiare
Didactica istoriei (română, maghiară, germană )
Didactica etnologiei (maghiară )
Didactica filosofiei (română, maghiară)
Didactica sociologiei si a asistenţei sociale (română, maghiară)
Didactica  ştiinţelor socio-umane (română, maghiară)
Didactica economiei (română, maghiară, germană )
Didactica psihologiei (română, maghiară )
Didactica pedagogiei (română, maghiară )
Didactica teologiei  (religiei ) ortodoxe (română)
Didactica teologiei  (religiei ) greco-catolice (română)
Didactica teologiei  (religiei ) reformate (maghiară)
Didactica teologiei  (religiei ) romano-catolice (maghiară)
Didactica educaţiei fizice şi a kinetoterapiei (română, maghiară)
Didactica fizicii , a ingineriei fizicii şi a fizicii medicale (română, maghiară) 
Didactica chimiei şi a ingineriei chimice (română, maghiară)
Didactica matematicii (română, maghiară, germană)
Didactica informaticii (română, maghiară, germană)
Didactica biologiei (română, maghiară, germană) 
Didactica ecologiei (română, maghiară)
Didactica geografiei şi a geografiei turismului (română, maghiară, germană)                 
Didactica geologiei (română, maghiară)
Didactica ştiinţei mediului (română, maghiară)
Didactica specializării pedagogia muzicii (maghiară)
Didactica specializării teatru şi film (română, maghiară)</t>
        </r>
      </text>
    </comment>
  </commentList>
</comments>
</file>

<file path=xl/sharedStrings.xml><?xml version="1.0" encoding="utf-8"?>
<sst xmlns="http://schemas.openxmlformats.org/spreadsheetml/2006/main" count="668" uniqueCount="250">
  <si>
    <t>I. CERINŢE PENTRU OBŢINEREA DIPLOMEI DE LICENŢĂ</t>
  </si>
  <si>
    <t>180 de credite din care:</t>
  </si>
  <si>
    <r>
      <rPr>
        <b/>
        <sz val="10"/>
        <color indexed="8"/>
        <rFont val="Times New Roman"/>
        <family val="1"/>
      </rPr>
      <t xml:space="preserve">20 </t>
    </r>
    <r>
      <rPr>
        <sz val="10"/>
        <color indexed="8"/>
        <rFont val="Times New Roman"/>
        <family val="1"/>
      </rPr>
      <t xml:space="preserve">de credite la examenul de licenţă </t>
    </r>
  </si>
  <si>
    <t>Activităţi didactice</t>
  </si>
  <si>
    <t>Sesiune de examene</t>
  </si>
  <si>
    <t>Vacanţă</t>
  </si>
  <si>
    <t>Sem I</t>
  </si>
  <si>
    <t>Sem II</t>
  </si>
  <si>
    <t>I</t>
  </si>
  <si>
    <t>V</t>
  </si>
  <si>
    <t>R</t>
  </si>
  <si>
    <t>Stagii de practică</t>
  </si>
  <si>
    <t xml:space="preserve">iarna </t>
  </si>
  <si>
    <t>prim</t>
  </si>
  <si>
    <t>vara</t>
  </si>
  <si>
    <t>Anul I</t>
  </si>
  <si>
    <t>Anul II</t>
  </si>
  <si>
    <t>Anul III</t>
  </si>
  <si>
    <t>II. DESFĂŞURAREA STUDIILOR (în număr de săptămani)</t>
  </si>
  <si>
    <r>
      <t xml:space="preserve">Durata studiilor: </t>
    </r>
    <r>
      <rPr>
        <b/>
        <sz val="10"/>
        <color indexed="8"/>
        <rFont val="Times New Roman"/>
        <family val="1"/>
      </rPr>
      <t>6 semestre</t>
    </r>
  </si>
  <si>
    <r>
      <t xml:space="preserve">Forma de învăţământ: </t>
    </r>
    <r>
      <rPr>
        <b/>
        <sz val="10"/>
        <color indexed="8"/>
        <rFont val="Times New Roman"/>
        <family val="1"/>
      </rPr>
      <t>cu frecvenţă</t>
    </r>
  </si>
  <si>
    <t>L.P comasate</t>
  </si>
  <si>
    <t xml:space="preserve">III. NUMĂRUL ORELOR PE SĂPTĂMANĂ </t>
  </si>
  <si>
    <t>V. MODUL DE ALEGERE A DISCIPLINELOR OPŢIONALE</t>
  </si>
  <si>
    <t>VII. TABELUL DISCIPLINELOR</t>
  </si>
  <si>
    <t>Felul disciplinei</t>
  </si>
  <si>
    <t>Forme de evaluare</t>
  </si>
  <si>
    <t>Ore fizice săptămânale</t>
  </si>
  <si>
    <t>TOTAL</t>
  </si>
  <si>
    <t>DENUMIREA DISCIPLINELOR</t>
  </si>
  <si>
    <t>COD</t>
  </si>
  <si>
    <t>C</t>
  </si>
  <si>
    <t>S</t>
  </si>
  <si>
    <t>LP</t>
  </si>
  <si>
    <t>T</t>
  </si>
  <si>
    <t>E</t>
  </si>
  <si>
    <t>VP</t>
  </si>
  <si>
    <t>F</t>
  </si>
  <si>
    <t>Semestrul I</t>
  </si>
  <si>
    <t>Semestrul II</t>
  </si>
  <si>
    <t>DF</t>
  </si>
  <si>
    <t>DS</t>
  </si>
  <si>
    <t>DC</t>
  </si>
  <si>
    <t>Credite ECTS</t>
  </si>
  <si>
    <t>Ore alocate studiului</t>
  </si>
  <si>
    <t>ANUL I, SEMESTRUL 1</t>
  </si>
  <si>
    <t>ANUL I, SEMESTRUL 2</t>
  </si>
  <si>
    <t>ANUL II, SEMESTRUL 3</t>
  </si>
  <si>
    <t>ANUL II, SEMESTRUL 4</t>
  </si>
  <si>
    <t>ANUL III, SEMESTRUL 5</t>
  </si>
  <si>
    <t>ANUL III, SEMESTRUL 6</t>
  </si>
  <si>
    <t>DISCIPLINE OPȚIONALE</t>
  </si>
  <si>
    <t>%</t>
  </si>
  <si>
    <t xml:space="preserve">TOTAL ORE FIZICE / TOTAL ORE ALOCATE STUDIULUI </t>
  </si>
  <si>
    <t>DISCIPLINE FACULTATIVE</t>
  </si>
  <si>
    <t>An I, Semestrul 1</t>
  </si>
  <si>
    <t>An I, Semestrul 2</t>
  </si>
  <si>
    <t>An II, Semestrul 3</t>
  </si>
  <si>
    <t>An II, Semestrul 4</t>
  </si>
  <si>
    <t>An III, Semestrul 5</t>
  </si>
  <si>
    <t>An III, Semestrul 6</t>
  </si>
  <si>
    <t xml:space="preserve">Anexă la Planul de Învățământ specializarea / programul de studiu: </t>
  </si>
  <si>
    <t>Semestrele 1 - 5 (14 săptămâni)</t>
  </si>
  <si>
    <t>DISCIPLINE DE PREGĂTIRE FUNDAMENTALĂ (DF)</t>
  </si>
  <si>
    <t>DISCIPLINE DE SPECIALIATE (DS)</t>
  </si>
  <si>
    <t>DISCIPLINE</t>
  </si>
  <si>
    <t>OBLIGATORII</t>
  </si>
  <si>
    <t>OPȚIONALE</t>
  </si>
  <si>
    <t>ORE FIZICE</t>
  </si>
  <si>
    <t>ORE ALOCATE STUDIULUI</t>
  </si>
  <si>
    <t>NR. DE CREDITE</t>
  </si>
  <si>
    <t>AN I</t>
  </si>
  <si>
    <t>AN II</t>
  </si>
  <si>
    <t>AN III</t>
  </si>
  <si>
    <t>DISCIPLINE COMPLEMANTARE (DC)</t>
  </si>
  <si>
    <t>Semestrul 6 (12 săptămâni)</t>
  </si>
  <si>
    <t>Semestrul  6 (12 săptămâni)</t>
  </si>
  <si>
    <t>BILANȚ GENERAL</t>
  </si>
  <si>
    <t>Educație fizică 1</t>
  </si>
  <si>
    <t>Educație fizică 2</t>
  </si>
  <si>
    <t>Pentru a ocupa posturi didactice în învăţământul preuniversitar obligatoriu, absolvenţii de studii universitare trebuie să finalizeze programul de studii psihopedagogice de minimum 30 de credite transferabile oferit de către Departamentul pentru Pregătirea Personalului Didactic (DPPD) şi să posede Certificat de absolvire a DPPD, Nivelul I.</t>
  </si>
  <si>
    <t xml:space="preserve">TOTAL CREDITE / ORE PE SĂPTĂMÂNĂ / EVALUĂRI </t>
  </si>
  <si>
    <t xml:space="preserve">PROGRAM DE STUDII PSIHOPEDAGOGICE </t>
  </si>
  <si>
    <t>VDP 1101</t>
  </si>
  <si>
    <t>VDP 1202</t>
  </si>
  <si>
    <t>Psihologia educaţiei</t>
  </si>
  <si>
    <t>VDP 2303</t>
  </si>
  <si>
    <t>VDP 2404</t>
  </si>
  <si>
    <t>VDP 3505</t>
  </si>
  <si>
    <t>Instruire asistată de calculator</t>
  </si>
  <si>
    <t>Practică pedagogică  în învăţământul preuniversitar obligatoriu (1)</t>
  </si>
  <si>
    <t>VDP 3506</t>
  </si>
  <si>
    <t>VDP 3607</t>
  </si>
  <si>
    <t>VDP 3608</t>
  </si>
  <si>
    <t>Managementul clasei de elevi</t>
  </si>
  <si>
    <t>Practică pedagogică  în învăţământul preuniversitar obligatoriu (2)</t>
  </si>
  <si>
    <t>MODUL PEDAGOCIC - Nivelul I: 30 de credite ECTS  + 5 credite ECTS aferente examenului de absolvire</t>
  </si>
  <si>
    <t>DPPF</t>
  </si>
  <si>
    <t>DPDPS</t>
  </si>
  <si>
    <t>DPPF – Discipline de pregătire psihopedagogică fundamentală (obligatorii)                                       DPDPS – Discipline de pregătire didactică şi practică de specialitate (obligatorii)</t>
  </si>
  <si>
    <t>YLU0011</t>
  </si>
  <si>
    <t>YLU0012</t>
  </si>
  <si>
    <t>Limba străină 1</t>
  </si>
  <si>
    <t>Limba străină 2</t>
  </si>
  <si>
    <t>PACHET OPȚIONAL 3 (An II, Semestrul 3)</t>
  </si>
  <si>
    <t>PACHET OPȚIONAL 4 (An II, Semestrul 4)</t>
  </si>
  <si>
    <t>PACHET OPȚIONAL 5 (An III, Semestrul 5)</t>
  </si>
  <si>
    <t>UNIVERSITATEA BABEŞ-BOLYAI CLUJ-NAPOCA</t>
  </si>
  <si>
    <t>IND</t>
  </si>
  <si>
    <r>
      <rPr>
        <b/>
        <sz val="10"/>
        <color indexed="8"/>
        <rFont val="Times New Roman"/>
        <family val="1"/>
      </rPr>
      <t>4</t>
    </r>
    <r>
      <rPr>
        <sz val="10"/>
        <color indexed="8"/>
        <rFont val="Times New Roman"/>
        <family val="1"/>
      </rPr>
      <t xml:space="preserve"> credite pentru disciplina Educație fizică</t>
    </r>
  </si>
  <si>
    <t xml:space="preserve">TOTAL CREDITE / ORE PE SĂPTĂMÂNĂ / EVALUĂRI / TOTAL DISCIPLINE </t>
  </si>
  <si>
    <t>PROCENT DIN NUMĂRUL TOTAL DE DISCIPLINE</t>
  </si>
  <si>
    <t>PROCENT DIN NUMĂRUL TOTAL DE ORE FIZICE</t>
  </si>
  <si>
    <t>DD</t>
  </si>
  <si>
    <t>ÎN TOATE TABELELE DIN ACEASTĂ MACHETĂ, TREBUIE SĂ INTRODUCEȚI  CONȚINUT NUMAI ÎN CELULELE MARCATE CU GALBEN. 
NICIO CELULĂ GALBENA NU TREBUIE SĂ RĂMÂNĂ  NECOMPLETATĂ.</t>
  </si>
  <si>
    <t>*</t>
  </si>
  <si>
    <t xml:space="preserve">PROCENT DIN NUMĂRUL TOTAL DE ORE FIZICE </t>
  </si>
  <si>
    <t xml:space="preserve">DISCIPLINE ÎN DOMENIU (DD) </t>
  </si>
  <si>
    <t>Pedagogie I: 
- Fundamentele pedagogiei 
- Teoria şi metodologia curriculumului</t>
  </si>
  <si>
    <t>Pedagogie II:
- Teoria şi metodologia instruirii 
- Teoria şi metodologia evaluării</t>
  </si>
  <si>
    <t>Chei de verificare: Planul este corect dacă adunând procentele din toate tipurile de discipline  se obține 100%</t>
  </si>
  <si>
    <t xml:space="preserve">Procent total discipline </t>
  </si>
  <si>
    <t>Procent total ore fizie</t>
  </si>
  <si>
    <t>DF+DD+DS+DC</t>
  </si>
  <si>
    <r>
      <t xml:space="preserve">Domeniul: </t>
    </r>
    <r>
      <rPr>
        <b/>
        <sz val="10"/>
        <color indexed="8"/>
        <rFont val="Times New Roman"/>
        <family val="1"/>
      </rPr>
      <t>Cinematografie și media</t>
    </r>
  </si>
  <si>
    <r>
      <t xml:space="preserve">Specializarea/Programul de studiu: </t>
    </r>
    <r>
      <rPr>
        <b/>
        <sz val="10"/>
        <color indexed="8"/>
        <rFont val="Times New Roman"/>
        <family val="1"/>
      </rPr>
      <t>Cinematografie, fotografie, media / Comunicare audiovizuală: scenaristică, publicitate-media</t>
    </r>
  </si>
  <si>
    <r>
      <t xml:space="preserve">Limba de predare: </t>
    </r>
    <r>
      <rPr>
        <b/>
        <sz val="10"/>
        <color indexed="8"/>
        <rFont val="Times New Roman"/>
        <family val="1"/>
      </rPr>
      <t>Română</t>
    </r>
  </si>
  <si>
    <r>
      <t xml:space="preserve">Titlul absolventului: </t>
    </r>
    <r>
      <rPr>
        <b/>
        <sz val="10"/>
        <color indexed="8"/>
        <rFont val="Times New Roman"/>
        <family val="1"/>
      </rPr>
      <t>Licențiat în Artele filmului</t>
    </r>
  </si>
  <si>
    <r>
      <rPr>
        <b/>
        <sz val="10"/>
        <color indexed="8"/>
        <rFont val="Times New Roman"/>
        <family val="1"/>
      </rPr>
      <t xml:space="preserve">  </t>
    </r>
    <r>
      <rPr>
        <b/>
        <sz val="10"/>
        <color rgb="FFFF0000"/>
        <rFont val="Times New Roman"/>
        <family val="1"/>
      </rPr>
      <t xml:space="preserve"> </t>
    </r>
    <r>
      <rPr>
        <b/>
        <sz val="10"/>
        <rFont val="Times New Roman"/>
        <family val="1"/>
      </rPr>
      <t>167</t>
    </r>
    <r>
      <rPr>
        <b/>
        <sz val="10"/>
        <color indexed="8"/>
        <rFont val="Times New Roman"/>
        <family val="1"/>
      </rPr>
      <t xml:space="preserve"> </t>
    </r>
    <r>
      <rPr>
        <sz val="10"/>
        <color indexed="8"/>
        <rFont val="Times New Roman"/>
        <family val="1"/>
      </rPr>
      <t>de credite la disciplinele obligatorii;</t>
    </r>
  </si>
  <si>
    <r>
      <t xml:space="preserve">   </t>
    </r>
    <r>
      <rPr>
        <b/>
        <sz val="10"/>
        <color indexed="8"/>
        <rFont val="Times New Roman"/>
        <family val="1"/>
      </rPr>
      <t>13</t>
    </r>
    <r>
      <rPr>
        <sz val="10"/>
        <color indexed="8"/>
        <rFont val="Times New Roman"/>
        <family val="1"/>
      </rPr>
      <t xml:space="preserve"> credite la disciplinele opţionale;</t>
    </r>
  </si>
  <si>
    <t xml:space="preserve">Și </t>
  </si>
  <si>
    <r>
      <rPr>
        <b/>
        <sz val="10"/>
        <color indexed="8"/>
        <rFont val="Times New Roman"/>
        <family val="1"/>
      </rPr>
      <t>VI.  UNIVERSITĂŢI EUROPENE DE REFERINŢĂ:</t>
    </r>
    <r>
      <rPr>
        <sz val="10"/>
        <color indexed="8"/>
        <rFont val="Times New Roman"/>
        <family val="1"/>
      </rPr>
      <t xml:space="preserve">
International School of Film and Television, Milano, Italia
Ecole Superieure de l'Audiovisuel, Toulouse, Franța 
School of Film and Television Studies, Norwich, UK</t>
    </r>
  </si>
  <si>
    <t>În contul a cel mult 3 discipline opţionale generale, studentul are dreptul să aleagă 3 discipline de la alte specializări ale facultăţilor din Universitatea Babeş-Bolyai, respectând condiționările din planurile de învățământ ale respectivelor specializări, excepție făcând Facultatea de Teatru și Televiziune, de la care nu se pot alege discipline.</t>
  </si>
  <si>
    <t>VLR1469</t>
  </si>
  <si>
    <t>Introducere în limbajul vizual</t>
  </si>
  <si>
    <t>VLR1468</t>
  </si>
  <si>
    <t>Teoria comunicării</t>
  </si>
  <si>
    <t>VLR1467</t>
  </si>
  <si>
    <t>Fotografie (1)</t>
  </si>
  <si>
    <t>VLR1466</t>
  </si>
  <si>
    <t>Introducere în limbajul cinematografic</t>
  </si>
  <si>
    <t>VLR1465</t>
  </si>
  <si>
    <t>Tehnici digitale: editare non-liniară</t>
  </si>
  <si>
    <t>VLR1464</t>
  </si>
  <si>
    <t>Utilizarea echipamentelor audiovizuale</t>
  </si>
  <si>
    <t>VLR1463</t>
  </si>
  <si>
    <r>
      <t xml:space="preserve">Stagiu de practică (1) </t>
    </r>
    <r>
      <rPr>
        <i/>
        <sz val="10"/>
        <color indexed="8"/>
        <rFont val="Times New Roman"/>
        <family val="1"/>
      </rPr>
      <t>[50 de ore]</t>
    </r>
  </si>
  <si>
    <t>VLR2469</t>
  </si>
  <si>
    <t>Fundamentele scenariului de film și televiziune</t>
  </si>
  <si>
    <t>VLR2468</t>
  </si>
  <si>
    <t>Bazele sunetului de film și TV</t>
  </si>
  <si>
    <t>VLR2467</t>
  </si>
  <si>
    <t>Bazele imaginii de film și TV</t>
  </si>
  <si>
    <t>VLR2466</t>
  </si>
  <si>
    <t>Fotografie (2)</t>
  </si>
  <si>
    <t>VLR2465</t>
  </si>
  <si>
    <t>Fundamentele montajului de film și televiziune</t>
  </si>
  <si>
    <t>VLR2464</t>
  </si>
  <si>
    <t>Istoria filmului și a televiziunii</t>
  </si>
  <si>
    <t>VLR3469</t>
  </si>
  <si>
    <t>Estetica filmului</t>
  </si>
  <si>
    <t>VLR3468</t>
  </si>
  <si>
    <t>Teoria și practica mass-media (1)</t>
  </si>
  <si>
    <t>VLR3467</t>
  </si>
  <si>
    <t>Producție audiovizuală (1): Reportaj</t>
  </si>
  <si>
    <t>VLR3439</t>
  </si>
  <si>
    <t>Teoria filmului - Filmologie (1)</t>
  </si>
  <si>
    <t>VLR3438</t>
  </si>
  <si>
    <t>Formate media</t>
  </si>
  <si>
    <t>VLX3430</t>
  </si>
  <si>
    <t>Opțional (1)</t>
  </si>
  <si>
    <t>VLR4469</t>
  </si>
  <si>
    <t>Analiza imaginii</t>
  </si>
  <si>
    <t>VLR4468</t>
  </si>
  <si>
    <t>Teoria și practica mass-media (2)</t>
  </si>
  <si>
    <t>VLR4439</t>
  </si>
  <si>
    <t>Producție audiovizuală (2): Programe audiovizuale</t>
  </si>
  <si>
    <t>VLR4438</t>
  </si>
  <si>
    <t>Structuri narative în film</t>
  </si>
  <si>
    <t>VLR4665</t>
  </si>
  <si>
    <t>Teoria filmului - filmologie (2)</t>
  </si>
  <si>
    <t>VLX4430</t>
  </si>
  <si>
    <t>Opțional (2)</t>
  </si>
  <si>
    <t>VLR4437</t>
  </si>
  <si>
    <t>VLR5469</t>
  </si>
  <si>
    <t>Cultură și antropologie vizuală</t>
  </si>
  <si>
    <t>VLR5468</t>
  </si>
  <si>
    <t>Istoria filmului românesc contemporan</t>
  </si>
  <si>
    <t>VLR5467</t>
  </si>
  <si>
    <t>Producție audiovizuală (3): Filmul documentar</t>
  </si>
  <si>
    <t>VLR5466</t>
  </si>
  <si>
    <t>Producție audiovizuală (4): Teleplay</t>
  </si>
  <si>
    <t>VLR5439</t>
  </si>
  <si>
    <t>Scenaristică pentru televiziune</t>
  </si>
  <si>
    <t>VLX5430</t>
  </si>
  <si>
    <t>Opțional (3)</t>
  </si>
  <si>
    <t>VLR6469</t>
  </si>
  <si>
    <t>Etică și legislație în audiovizual</t>
  </si>
  <si>
    <t>VLR6468</t>
  </si>
  <si>
    <t>Elaborarea lucrării de diplomă</t>
  </si>
  <si>
    <t>VLR6467</t>
  </si>
  <si>
    <t>Marketing și management în audiovizual</t>
  </si>
  <si>
    <t>VLR6466</t>
  </si>
  <si>
    <t>Producție audiovizuală (5): Filmul publicitar</t>
  </si>
  <si>
    <t>VLR6439</t>
  </si>
  <si>
    <t>Platforme online pentru audiovizual</t>
  </si>
  <si>
    <t>VLR6438</t>
  </si>
  <si>
    <r>
      <t xml:space="preserve">Stagiu de practică (3) </t>
    </r>
    <r>
      <rPr>
        <i/>
        <sz val="10"/>
        <color indexed="8"/>
        <rFont val="Times New Roman"/>
        <family val="1"/>
      </rPr>
      <t>[50 de ore]</t>
    </r>
  </si>
  <si>
    <t>VLR3431</t>
  </si>
  <si>
    <t>Adaptarea textului literar</t>
  </si>
  <si>
    <t>VLR3433</t>
  </si>
  <si>
    <t>Atelier de film</t>
  </si>
  <si>
    <t>VLR4431</t>
  </si>
  <si>
    <t>Tehnici multimedia și videoart</t>
  </si>
  <si>
    <t>VLR4432</t>
  </si>
  <si>
    <t>Experiment vizual în filmul scurt</t>
  </si>
  <si>
    <t>Publicitate</t>
  </si>
  <si>
    <t>VLR4433</t>
  </si>
  <si>
    <t>VLR5431</t>
  </si>
  <si>
    <t>Mass-media și politica</t>
  </si>
  <si>
    <t>VLR5432</t>
  </si>
  <si>
    <t>Sociologie cinematografică</t>
  </si>
  <si>
    <t>VLR5433</t>
  </si>
  <si>
    <t>Telejurnalism</t>
  </si>
  <si>
    <t>VLR3430</t>
  </si>
  <si>
    <t>VLR4430</t>
  </si>
  <si>
    <t>VLR5430</t>
  </si>
  <si>
    <t>VLR1666</t>
  </si>
  <si>
    <t>Scriere creativă: limbă și stil în audiovizual</t>
  </si>
  <si>
    <t>VLR2667</t>
  </si>
  <si>
    <t>Istoria filmului românesc (1)</t>
  </si>
  <si>
    <t>VLR3668</t>
  </si>
  <si>
    <t>Genuri de film (2): Comedie</t>
  </si>
  <si>
    <t>VLR4668</t>
  </si>
  <si>
    <t>Școli de film</t>
  </si>
  <si>
    <t>Stagiu de practică (1) [50 de ore]</t>
  </si>
  <si>
    <t>Stagiu de practică (2) [50 de ore]</t>
  </si>
  <si>
    <t>Stagiu de practică (3) [50 de ore]</t>
  </si>
  <si>
    <t>Didactica specialităţii: teatru și film (română)</t>
  </si>
  <si>
    <r>
      <rPr>
        <b/>
        <sz val="10"/>
        <color indexed="8"/>
        <rFont val="Times New Roman"/>
        <family val="1"/>
      </rPr>
      <t>6</t>
    </r>
    <r>
      <rPr>
        <sz val="10"/>
        <color indexed="8"/>
        <rFont val="Times New Roman"/>
        <family val="1"/>
      </rPr>
      <t xml:space="preserve"> credite pentru o limbă străină (2 semestre)</t>
    </r>
  </si>
  <si>
    <t>*LLU0013, Limba engleză - curs practic limbaj specializat; LLU0023, Limba franceză - curs practic limbaj specializat; LLU0033, Limba germană - curs practic limbaj specializat; LLU0043, Limba italiană - curs practic limbaj specializat; LLU0053 - Limba spaniolă - curs practic limbaj specializat; LLU0063 - Limba rusă - curs practic limbaj specializat.</t>
  </si>
  <si>
    <t>** LLU0014, Limba engleză - curs practic limbaj specializat; LLU0024, Limba franceză - curs practic limbaj specializat; LLU0034, Limba germană - curs practic limbaj specializat; LLU0044, Limba italiană - curs practic limbaj specializat; LLU0054 - Limba spaniolă - curs practic limbaj specializat; LLU0064- Limba rusă - curs practic limbaj specializat.</t>
  </si>
  <si>
    <t>**</t>
  </si>
  <si>
    <t>PLAN DE ÎNVĂŢĂMÂNT  valabil începând din anul universitar 2019-2020</t>
  </si>
  <si>
    <t>FACULTATEA DE TEATRU ȘI FILM</t>
  </si>
  <si>
    <r>
      <rPr>
        <b/>
        <sz val="10"/>
        <color indexed="8"/>
        <rFont val="Times New Roman"/>
        <family val="1"/>
      </rPr>
      <t>IV.EXAMENUL DE LICENŢĂ</t>
    </r>
    <r>
      <rPr>
        <sz val="10"/>
        <color indexed="8"/>
        <rFont val="Times New Roman"/>
        <family val="1"/>
      </rPr>
      <t xml:space="preserve"> - perioada iunie-iulie (1 săptămână)
Proba 1: Evaluarea cunoştinţelor fundamentale şi de specialitate - 10 credite
Proba 2: Prezentarea şi susţinerea lucrării de licenţă - 10 credite</t>
    </r>
  </si>
  <si>
    <r>
      <t xml:space="preserve">Sem. 3: Se alege o disciplină din pachetul opțional 1: </t>
    </r>
    <r>
      <rPr>
        <b/>
        <sz val="10"/>
        <color indexed="8"/>
        <rFont val="Times New Roman"/>
        <family val="1"/>
      </rPr>
      <t>VLX3430</t>
    </r>
  </si>
  <si>
    <r>
      <t xml:space="preserve">Sem. 4: Se alege o disciplină din pachetul opțional 2: </t>
    </r>
    <r>
      <rPr>
        <b/>
        <sz val="10"/>
        <color indexed="8"/>
        <rFont val="Times New Roman"/>
        <family val="1"/>
      </rPr>
      <t>VLX4430</t>
    </r>
  </si>
  <si>
    <r>
      <t xml:space="preserve">Sem. 5: Se alege o disciplină din pachetul opțional 3: </t>
    </r>
    <r>
      <rPr>
        <b/>
        <sz val="10"/>
        <color indexed="8"/>
        <rFont val="Times New Roman"/>
        <family val="1"/>
      </rPr>
      <t>VLX5430</t>
    </r>
  </si>
  <si>
    <r>
      <t xml:space="preserve">Stagiu de practică (2) </t>
    </r>
    <r>
      <rPr>
        <i/>
        <sz val="10"/>
        <rFont val="Times New Roman"/>
        <family val="1"/>
      </rPr>
      <t>[50 de ore]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</si>
</sst>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8" x14ac:knownFonts="1">
    <font>
      <sz val="11"/>
      <color theme="1"/>
      <name val="Calibri"/>
      <family val="2"/>
      <charset val="238"/>
      <scheme val="minor"/>
    </font>
    <font>
      <sz val="10"/>
      <color indexed="8"/>
      <name val="Times New Roman"/>
      <family val="1"/>
    </font>
    <font>
      <b/>
      <sz val="10"/>
      <color indexed="8"/>
      <name val="Times New Roman"/>
      <family val="1"/>
    </font>
    <font>
      <b/>
      <sz val="11"/>
      <color indexed="8"/>
      <name val="Times New Roman"/>
      <family val="1"/>
    </font>
    <font>
      <sz val="10"/>
      <color indexed="10"/>
      <name val="Times New Roman"/>
      <family val="1"/>
    </font>
    <font>
      <sz val="8"/>
      <name val="Calibri"/>
      <family val="2"/>
      <charset val="238"/>
    </font>
    <font>
      <sz val="10"/>
      <color theme="0"/>
      <name val="Times New Roman"/>
      <family val="1"/>
    </font>
    <font>
      <sz val="10"/>
      <color indexed="8"/>
      <name val="Calibri"/>
      <family val="2"/>
    </font>
    <font>
      <b/>
      <sz val="10"/>
      <color rgb="FFFF0000"/>
      <name val="Times New Roman"/>
      <family val="1"/>
    </font>
    <font>
      <sz val="10"/>
      <color theme="1"/>
      <name val="Times New Roman"/>
      <family val="1"/>
    </font>
    <font>
      <b/>
      <sz val="9"/>
      <color indexed="8"/>
      <name val="Times New Roman"/>
      <family val="1"/>
    </font>
    <font>
      <b/>
      <sz val="10"/>
      <color indexed="8"/>
      <name val="Times New Roman"/>
      <family val="1"/>
      <charset val="238"/>
    </font>
    <font>
      <b/>
      <sz val="9"/>
      <color rgb="FF000000"/>
      <name val="Times New Roman"/>
      <family val="1"/>
    </font>
    <font>
      <b/>
      <sz val="10"/>
      <color rgb="FF000000"/>
      <name val="Times New Roman"/>
      <family val="1"/>
    </font>
    <font>
      <b/>
      <sz val="9"/>
      <color indexed="81"/>
      <name val="Tahoma"/>
      <family val="2"/>
      <charset val="238"/>
    </font>
    <font>
      <sz val="9"/>
      <color indexed="10"/>
      <name val="Tahoma"/>
      <family val="2"/>
      <charset val="238"/>
    </font>
    <font>
      <sz val="9"/>
      <color indexed="81"/>
      <name val="Tahoma"/>
      <family val="2"/>
      <charset val="238"/>
    </font>
    <font>
      <sz val="10"/>
      <color indexed="8"/>
      <name val="Times New Roman"/>
      <family val="1"/>
      <charset val="238"/>
    </font>
    <font>
      <b/>
      <sz val="9"/>
      <color indexed="10"/>
      <name val="Tahoma"/>
      <family val="2"/>
      <charset val="238"/>
    </font>
    <font>
      <i/>
      <sz val="9"/>
      <color indexed="10"/>
      <name val="Tahoma"/>
      <family val="2"/>
      <charset val="238"/>
    </font>
    <font>
      <b/>
      <sz val="9"/>
      <color indexed="81"/>
      <name val="Tahoma"/>
      <charset val="1"/>
    </font>
    <font>
      <sz val="9"/>
      <color indexed="81"/>
      <name val="Tahoma"/>
      <charset val="1"/>
    </font>
    <font>
      <b/>
      <sz val="10"/>
      <color rgb="FFFF0000"/>
      <name val="Times New Roman"/>
      <family val="1"/>
      <charset val="238"/>
    </font>
    <font>
      <b/>
      <sz val="10"/>
      <name val="Times New Roman"/>
      <family val="1"/>
      <charset val="238"/>
    </font>
    <font>
      <b/>
      <sz val="10"/>
      <name val="Times New Roman"/>
      <family val="1"/>
    </font>
    <font>
      <i/>
      <sz val="10"/>
      <color indexed="8"/>
      <name val="Times New Roman"/>
      <family val="1"/>
    </font>
    <font>
      <sz val="10"/>
      <name val="Times New Roman"/>
      <family val="1"/>
    </font>
    <font>
      <i/>
      <sz val="10"/>
      <name val="Times New Roman"/>
      <family val="1"/>
    </font>
  </fonts>
  <fills count="8">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FF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327">
    <xf numFmtId="0" fontId="0" fillId="0" borderId="0" xfId="0"/>
    <xf numFmtId="0" fontId="1" fillId="0" borderId="0" xfId="0" applyFont="1" applyProtection="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4" xfId="0" applyFont="1" applyBorder="1" applyAlignment="1" applyProtection="1">
      <protection locked="0"/>
    </xf>
    <xf numFmtId="0" fontId="1" fillId="0" borderId="0" xfId="0" applyFont="1" applyAlignment="1" applyProtection="1">
      <alignment vertical="center"/>
      <protection locked="0"/>
    </xf>
    <xf numFmtId="0" fontId="4" fillId="0" borderId="0" xfId="0" applyFont="1" applyProtection="1">
      <protection locked="0"/>
    </xf>
    <xf numFmtId="0" fontId="6" fillId="0" borderId="0" xfId="0" applyFont="1" applyProtection="1">
      <protection locked="0"/>
    </xf>
    <xf numFmtId="0" fontId="1" fillId="3" borderId="1" xfId="0" applyFont="1" applyFill="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1" fillId="2"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xf>
    <xf numFmtId="1" fontId="1" fillId="0" borderId="1" xfId="0" applyNumberFormat="1" applyFont="1" applyBorder="1" applyAlignment="1" applyProtection="1">
      <alignment horizontal="center" vertical="center"/>
    </xf>
    <xf numFmtId="0" fontId="1" fillId="0" borderId="1" xfId="0" applyFont="1" applyFill="1" applyBorder="1" applyAlignment="1" applyProtection="1">
      <alignment horizontal="center" vertical="center"/>
    </xf>
    <xf numFmtId="0" fontId="2" fillId="0" borderId="1" xfId="0"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2" fontId="1" fillId="3" borderId="1" xfId="0" applyNumberFormat="1"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protection locked="0"/>
    </xf>
    <xf numFmtId="1" fontId="1" fillId="3" borderId="1" xfId="0" applyNumberFormat="1"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left" vertical="center"/>
    </xf>
    <xf numFmtId="0" fontId="7" fillId="0" borderId="0" xfId="0" applyFont="1" applyProtection="1">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1" fillId="0" borderId="0" xfId="0" applyFont="1" applyProtection="1">
      <protection locked="0"/>
    </xf>
    <xf numFmtId="0" fontId="1" fillId="0" borderId="0" xfId="0" applyFont="1" applyAlignment="1" applyProtection="1">
      <alignment horizontal="left" vertical="center"/>
      <protection locked="0"/>
    </xf>
    <xf numFmtId="1" fontId="1" fillId="5" borderId="1" xfId="0" applyNumberFormat="1" applyFont="1" applyFill="1" applyBorder="1" applyAlignment="1" applyProtection="1">
      <alignment horizontal="left" vertical="center"/>
      <protection locked="0"/>
    </xf>
    <xf numFmtId="1" fontId="1" fillId="5" borderId="1" xfId="0" applyNumberFormat="1" applyFont="1" applyFill="1" applyBorder="1" applyAlignment="1" applyProtection="1">
      <alignment horizontal="center" vertical="center"/>
      <protection locked="0"/>
    </xf>
    <xf numFmtId="1" fontId="1" fillId="5" borderId="1" xfId="0" applyNumberFormat="1" applyFont="1" applyFill="1" applyBorder="1" applyAlignment="1" applyProtection="1">
      <alignment horizontal="center" vertical="center"/>
    </xf>
    <xf numFmtId="1" fontId="1" fillId="5" borderId="1" xfId="0" applyNumberFormat="1" applyFont="1" applyFill="1" applyBorder="1" applyAlignment="1" applyProtection="1">
      <alignment horizontal="center" vertical="center" wrapText="1"/>
      <protection locked="0"/>
    </xf>
    <xf numFmtId="1" fontId="2" fillId="5" borderId="1" xfId="0" applyNumberFormat="1" applyFont="1" applyFill="1" applyBorder="1" applyAlignment="1" applyProtection="1">
      <alignment horizontal="center" vertical="center"/>
    </xf>
    <xf numFmtId="0" fontId="2" fillId="5" borderId="3" xfId="0"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1" fillId="0" borderId="1" xfId="0" applyFont="1" applyBorder="1" applyAlignment="1" applyProtection="1">
      <alignment horizontal="center" vertical="center"/>
    </xf>
    <xf numFmtId="0" fontId="1" fillId="0" borderId="0" xfId="0" applyFont="1" applyProtection="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vertical="center"/>
      <protection locked="0"/>
    </xf>
    <xf numFmtId="0" fontId="2" fillId="0" borderId="1"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top" wrapText="1"/>
      <protection locked="0"/>
    </xf>
    <xf numFmtId="0" fontId="1" fillId="0" borderId="0" xfId="0" applyFont="1" applyProtection="1">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165" fontId="1" fillId="3" borderId="1" xfId="0" applyNumberFormat="1" applyFont="1" applyFill="1" applyBorder="1" applyAlignment="1" applyProtection="1">
      <alignment horizontal="center" vertical="center"/>
      <protection locked="0"/>
    </xf>
    <xf numFmtId="165" fontId="1" fillId="0" borderId="1" xfId="0" applyNumberFormat="1" applyFont="1" applyBorder="1" applyAlignment="1" applyProtection="1">
      <alignment horizontal="center" vertical="center"/>
    </xf>
    <xf numFmtId="165" fontId="1" fillId="0" borderId="1" xfId="0" applyNumberFormat="1" applyFont="1" applyFill="1" applyBorder="1" applyAlignment="1" applyProtection="1">
      <alignment horizontal="center" vertical="center"/>
    </xf>
    <xf numFmtId="165" fontId="2" fillId="0" borderId="1" xfId="0" applyNumberFormat="1" applyFont="1" applyBorder="1" applyAlignment="1" applyProtection="1">
      <alignment horizontal="center" vertical="center"/>
    </xf>
    <xf numFmtId="0" fontId="1" fillId="0" borderId="0" xfId="0" applyFont="1" applyProtection="1">
      <protection locked="0"/>
    </xf>
    <xf numFmtId="2"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vertical="center" wrapText="1"/>
      <protection locked="0"/>
    </xf>
    <xf numFmtId="0" fontId="2" fillId="0" borderId="1" xfId="0" applyFont="1" applyBorder="1" applyAlignment="1" applyProtection="1">
      <alignment horizontal="center" vertical="center" wrapText="1"/>
    </xf>
    <xf numFmtId="1" fontId="1" fillId="3" borderId="1" xfId="0" applyNumberFormat="1" applyFont="1" applyFill="1" applyBorder="1" applyAlignment="1" applyProtection="1">
      <alignment horizontal="left" vertical="center"/>
      <protection locked="0"/>
    </xf>
    <xf numFmtId="0" fontId="2"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vertical="top" wrapText="1"/>
    </xf>
    <xf numFmtId="0" fontId="2" fillId="0" borderId="0" xfId="0" applyFont="1" applyFill="1" applyAlignment="1" applyProtection="1">
      <alignment horizontal="left" vertical="top" wrapText="1"/>
      <protection locked="0"/>
    </xf>
    <xf numFmtId="0" fontId="1" fillId="0" borderId="0" xfId="0" applyFont="1" applyFill="1" applyAlignment="1" applyProtection="1">
      <alignment vertical="top" wrapText="1"/>
      <protection locked="0"/>
    </xf>
    <xf numFmtId="0" fontId="2" fillId="0" borderId="0" xfId="0" applyFont="1" applyBorder="1" applyAlignment="1" applyProtection="1">
      <alignment horizontal="center" vertical="center"/>
    </xf>
    <xf numFmtId="165" fontId="2" fillId="0" borderId="0" xfId="0" applyNumberFormat="1"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0" xfId="0" applyFont="1" applyBorder="1" applyProtection="1">
      <protection locked="0"/>
    </xf>
    <xf numFmtId="0" fontId="1"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protection locked="0"/>
    </xf>
    <xf numFmtId="165"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wrapText="1"/>
    </xf>
    <xf numFmtId="9" fontId="2" fillId="0" borderId="0" xfId="0" applyNumberFormat="1" applyFont="1" applyBorder="1" applyAlignment="1" applyProtection="1">
      <alignment horizontal="center" vertical="center"/>
    </xf>
    <xf numFmtId="0" fontId="1" fillId="0" borderId="0" xfId="0" applyFont="1" applyFill="1" applyProtection="1">
      <protection locked="0"/>
    </xf>
    <xf numFmtId="0" fontId="1" fillId="0" borderId="0" xfId="0" applyFont="1" applyFill="1" applyAlignment="1" applyProtection="1">
      <alignment vertical="center" wrapText="1"/>
      <protection locked="0"/>
    </xf>
    <xf numFmtId="0" fontId="1" fillId="0" borderId="0" xfId="0" applyFont="1" applyFill="1" applyAlignment="1" applyProtection="1">
      <alignment wrapText="1"/>
      <protection locked="0"/>
    </xf>
    <xf numFmtId="0" fontId="1" fillId="0" borderId="0" xfId="0" applyFont="1" applyFill="1" applyBorder="1" applyAlignment="1" applyProtection="1">
      <alignment vertical="top" wrapText="1"/>
      <protection locked="0"/>
    </xf>
    <xf numFmtId="0" fontId="1" fillId="0" borderId="0" xfId="0" applyFont="1" applyFill="1" applyBorder="1" applyProtection="1">
      <protection locked="0"/>
    </xf>
    <xf numFmtId="0" fontId="1" fillId="0" borderId="0" xfId="0" applyFont="1" applyFill="1" applyBorder="1" applyAlignment="1" applyProtection="1">
      <alignment wrapText="1"/>
      <protection locked="0"/>
    </xf>
    <xf numFmtId="1" fontId="2" fillId="0" borderId="1"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vertical="top"/>
      <protection locked="0"/>
    </xf>
    <xf numFmtId="0" fontId="0" fillId="0" borderId="0" xfId="0" applyAlignment="1">
      <alignment vertical="center" wrapText="1"/>
    </xf>
    <xf numFmtId="0" fontId="23" fillId="0" borderId="0"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 fillId="0" borderId="0" xfId="0" applyFont="1" applyProtection="1">
      <protection locked="0"/>
    </xf>
    <xf numFmtId="0" fontId="1" fillId="0" borderId="0" xfId="0" applyFont="1" applyBorder="1" applyProtection="1">
      <protection locked="0"/>
    </xf>
    <xf numFmtId="0" fontId="1" fillId="0" borderId="1" xfId="0" applyFont="1" applyBorder="1" applyAlignment="1" applyProtection="1">
      <alignment horizontal="center" vertical="center" wrapText="1"/>
      <protection locked="0"/>
    </xf>
    <xf numFmtId="1" fontId="1" fillId="3" borderId="1" xfId="0" applyNumberFormat="1" applyFont="1" applyFill="1" applyBorder="1" applyAlignment="1" applyProtection="1">
      <alignment horizontal="left" vertical="center"/>
      <protection locked="0"/>
    </xf>
    <xf numFmtId="0" fontId="1" fillId="0" borderId="0" xfId="0" applyFont="1" applyProtection="1">
      <protection locked="0"/>
    </xf>
    <xf numFmtId="0" fontId="1" fillId="3" borderId="1" xfId="0" applyNumberFormat="1" applyFont="1" applyFill="1" applyBorder="1" applyAlignment="1" applyProtection="1">
      <alignment horizontal="center" vertical="center" wrapText="1"/>
      <protection locked="0"/>
    </xf>
    <xf numFmtId="0" fontId="17" fillId="0" borderId="0" xfId="0" applyFont="1" applyBorder="1" applyAlignment="1" applyProtection="1">
      <alignment horizontal="left" vertical="center" wrapText="1"/>
    </xf>
    <xf numFmtId="0" fontId="1" fillId="0" borderId="0" xfId="0" applyFont="1" applyProtection="1">
      <protection locked="0"/>
    </xf>
    <xf numFmtId="0" fontId="1" fillId="0" borderId="0" xfId="0" applyFont="1" applyBorder="1" applyProtection="1">
      <protection locked="0"/>
    </xf>
    <xf numFmtId="0" fontId="2" fillId="0" borderId="0" xfId="0" applyFont="1" applyBorder="1" applyAlignment="1" applyProtection="1">
      <alignment horizontal="left" vertical="center"/>
      <protection locked="0"/>
    </xf>
    <xf numFmtId="10" fontId="11" fillId="0" borderId="0" xfId="0" applyNumberFormat="1" applyFont="1" applyBorder="1" applyAlignment="1" applyProtection="1">
      <alignment horizontal="center" vertical="center"/>
      <protection locked="0"/>
    </xf>
    <xf numFmtId="0" fontId="1" fillId="0" borderId="0" xfId="0" applyFont="1" applyProtection="1">
      <protection locked="0"/>
    </xf>
    <xf numFmtId="0" fontId="1" fillId="0" borderId="0" xfId="0" applyFont="1" applyBorder="1" applyProtection="1">
      <protection locked="0"/>
    </xf>
    <xf numFmtId="0" fontId="1" fillId="0" borderId="14" xfId="0" applyFont="1" applyBorder="1" applyAlignment="1" applyProtection="1">
      <alignment wrapText="1"/>
    </xf>
    <xf numFmtId="0" fontId="1" fillId="0" borderId="0" xfId="0" applyFont="1" applyBorder="1" applyAlignment="1" applyProtection="1">
      <alignment wrapText="1"/>
    </xf>
    <xf numFmtId="0" fontId="1" fillId="0" borderId="0" xfId="0" applyFont="1" applyAlignment="1" applyProtection="1">
      <alignment vertical="top" wrapText="1"/>
      <protection locked="0"/>
    </xf>
    <xf numFmtId="0" fontId="2" fillId="0" borderId="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10" fontId="2" fillId="0" borderId="2" xfId="0" applyNumberFormat="1" applyFont="1" applyBorder="1" applyAlignment="1" applyProtection="1">
      <alignment horizontal="center" vertical="center"/>
      <protection locked="0"/>
    </xf>
    <xf numFmtId="10" fontId="2" fillId="0" borderId="5" xfId="0" applyNumberFormat="1" applyFont="1" applyBorder="1" applyAlignment="1" applyProtection="1">
      <alignment horizontal="center" vertical="center"/>
      <protection locked="0"/>
    </xf>
    <xf numFmtId="10" fontId="2" fillId="0" borderId="6" xfId="0" applyNumberFormat="1" applyFont="1" applyBorder="1" applyAlignment="1" applyProtection="1">
      <alignment horizontal="center" vertical="center"/>
      <protection locked="0"/>
    </xf>
    <xf numFmtId="0" fontId="13" fillId="0" borderId="2"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2" fontId="1" fillId="0" borderId="9" xfId="0" applyNumberFormat="1" applyFont="1" applyBorder="1" applyAlignment="1" applyProtection="1">
      <alignment horizontal="center" vertical="center"/>
    </xf>
    <xf numFmtId="2" fontId="1" fillId="0" borderId="4" xfId="0" applyNumberFormat="1" applyFont="1" applyBorder="1" applyAlignment="1" applyProtection="1">
      <alignment horizontal="center" vertical="center"/>
    </xf>
    <xf numFmtId="2" fontId="1" fillId="0" borderId="10" xfId="0" applyNumberFormat="1" applyFont="1" applyBorder="1" applyAlignment="1" applyProtection="1">
      <alignment horizontal="center" vertical="center"/>
    </xf>
    <xf numFmtId="2" fontId="1" fillId="0" borderId="11" xfId="0" applyNumberFormat="1" applyFont="1" applyBorder="1" applyAlignment="1" applyProtection="1">
      <alignment horizontal="center" vertical="center"/>
    </xf>
    <xf numFmtId="2" fontId="1" fillId="0" borderId="7" xfId="0" applyNumberFormat="1" applyFont="1" applyBorder="1" applyAlignment="1" applyProtection="1">
      <alignment horizontal="center" vertical="center"/>
    </xf>
    <xf numFmtId="2" fontId="1" fillId="0" borderId="8" xfId="0" applyNumberFormat="1" applyFont="1" applyBorder="1" applyAlignment="1" applyProtection="1">
      <alignment horizontal="center" vertical="center"/>
    </xf>
    <xf numFmtId="165" fontId="2" fillId="0" borderId="2" xfId="0" applyNumberFormat="1" applyFont="1" applyBorder="1" applyAlignment="1" applyProtection="1">
      <alignment horizontal="center" vertical="center"/>
    </xf>
    <xf numFmtId="165" fontId="2" fillId="0" borderId="5" xfId="0" applyNumberFormat="1" applyFont="1" applyBorder="1" applyAlignment="1" applyProtection="1">
      <alignment horizontal="center" vertical="center"/>
    </xf>
    <xf numFmtId="165" fontId="2" fillId="0" borderId="6" xfId="0" applyNumberFormat="1" applyFont="1" applyBorder="1" applyAlignment="1" applyProtection="1">
      <alignment horizontal="center" vertical="center"/>
    </xf>
    <xf numFmtId="0" fontId="1" fillId="0" borderId="1" xfId="0" applyFont="1" applyBorder="1" applyAlignment="1" applyProtection="1">
      <alignment horizontal="left" vertical="top"/>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1" fillId="2" borderId="1" xfId="0" applyFont="1" applyFill="1" applyBorder="1" applyAlignment="1" applyProtection="1">
      <alignment horizontal="left" vertical="center"/>
      <protection locked="0"/>
    </xf>
    <xf numFmtId="0" fontId="12" fillId="0" borderId="2"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2" fillId="0" borderId="9"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1" xfId="0" applyFont="1" applyBorder="1" applyAlignment="1" applyProtection="1">
      <alignment horizontal="center" vertical="center" wrapText="1"/>
    </xf>
    <xf numFmtId="0" fontId="1" fillId="0" borderId="1" xfId="0" applyFont="1" applyBorder="1" applyAlignment="1" applyProtection="1">
      <alignment horizontal="center" vertical="center"/>
    </xf>
    <xf numFmtId="0" fontId="1" fillId="0" borderId="14" xfId="0" applyFont="1" applyBorder="1" applyAlignment="1" applyProtection="1">
      <alignment wrapText="1"/>
    </xf>
    <xf numFmtId="0" fontId="1" fillId="0" borderId="0" xfId="0" applyFont="1" applyBorder="1" applyAlignment="1" applyProtection="1">
      <alignment wrapText="1"/>
    </xf>
    <xf numFmtId="0" fontId="1" fillId="0" borderId="0" xfId="0" applyFont="1" applyAlignment="1" applyProtection="1">
      <alignment wrapText="1"/>
    </xf>
    <xf numFmtId="0" fontId="2" fillId="6" borderId="0" xfId="0" applyFont="1" applyFill="1" applyAlignment="1" applyProtection="1">
      <alignment horizontal="left" vertical="top" wrapText="1"/>
      <protection locked="0"/>
    </xf>
    <xf numFmtId="2" fontId="1" fillId="0" borderId="1" xfId="0" applyNumberFormat="1" applyFont="1" applyBorder="1" applyAlignment="1" applyProtection="1">
      <alignment horizontal="center" vertical="center"/>
    </xf>
    <xf numFmtId="165" fontId="2" fillId="0" borderId="1" xfId="0" applyNumberFormat="1" applyFont="1" applyBorder="1" applyAlignment="1" applyProtection="1">
      <alignment horizontal="center" vertical="center"/>
    </xf>
    <xf numFmtId="1" fontId="1" fillId="5" borderId="2" xfId="0" applyNumberFormat="1" applyFont="1" applyFill="1" applyBorder="1" applyAlignment="1" applyProtection="1">
      <alignment horizontal="left" vertical="center"/>
      <protection locked="0"/>
    </xf>
    <xf numFmtId="1" fontId="1" fillId="5" borderId="5" xfId="0" applyNumberFormat="1" applyFont="1" applyFill="1" applyBorder="1" applyAlignment="1" applyProtection="1">
      <alignment horizontal="left" vertical="center"/>
      <protection locked="0"/>
    </xf>
    <xf numFmtId="1" fontId="1" fillId="5" borderId="6" xfId="0" applyNumberFormat="1" applyFont="1" applyFill="1" applyBorder="1" applyAlignment="1" applyProtection="1">
      <alignment horizontal="left" vertical="center"/>
      <protection locked="0"/>
    </xf>
    <xf numFmtId="1" fontId="2" fillId="5" borderId="2" xfId="0" applyNumberFormat="1" applyFont="1" applyFill="1" applyBorder="1" applyAlignment="1" applyProtection="1">
      <alignment horizontal="center" vertical="center"/>
      <protection locked="0"/>
    </xf>
    <xf numFmtId="1" fontId="2" fillId="5" borderId="5" xfId="0" applyNumberFormat="1" applyFont="1" applyFill="1" applyBorder="1" applyAlignment="1" applyProtection="1">
      <alignment horizontal="center" vertical="center"/>
      <protection locked="0"/>
    </xf>
    <xf numFmtId="1" fontId="2" fillId="5" borderId="6" xfId="0" applyNumberFormat="1" applyFont="1" applyFill="1" applyBorder="1" applyAlignment="1" applyProtection="1">
      <alignment horizontal="center" vertical="center"/>
      <protection locked="0"/>
    </xf>
    <xf numFmtId="0" fontId="2" fillId="5" borderId="2" xfId="0" applyFont="1" applyFill="1" applyBorder="1" applyAlignment="1" applyProtection="1">
      <alignment horizontal="left" vertical="center" wrapText="1"/>
    </xf>
    <xf numFmtId="0" fontId="2" fillId="5" borderId="5"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xf>
    <xf numFmtId="0" fontId="2" fillId="5" borderId="9" xfId="0" applyFont="1" applyFill="1" applyBorder="1" applyAlignment="1" applyProtection="1">
      <alignment horizontal="left" vertical="center" wrapText="1"/>
    </xf>
    <xf numFmtId="0" fontId="2" fillId="5" borderId="4" xfId="0" applyFont="1" applyFill="1" applyBorder="1" applyAlignment="1" applyProtection="1">
      <alignment horizontal="left" vertical="center" wrapText="1"/>
    </xf>
    <xf numFmtId="0" fontId="2" fillId="5" borderId="10" xfId="0" applyFont="1" applyFill="1" applyBorder="1" applyAlignment="1" applyProtection="1">
      <alignment horizontal="left" vertical="center" wrapText="1"/>
    </xf>
    <xf numFmtId="0" fontId="2" fillId="5" borderId="11" xfId="0" applyFont="1" applyFill="1" applyBorder="1" applyAlignment="1" applyProtection="1">
      <alignment horizontal="left" vertical="center" wrapText="1"/>
    </xf>
    <xf numFmtId="0" fontId="2" fillId="5" borderId="7" xfId="0" applyFont="1" applyFill="1" applyBorder="1" applyAlignment="1" applyProtection="1">
      <alignment horizontal="left" vertical="center" wrapText="1"/>
    </xf>
    <xf numFmtId="0" fontId="2" fillId="5" borderId="8" xfId="0" applyFont="1" applyFill="1" applyBorder="1" applyAlignment="1" applyProtection="1">
      <alignment horizontal="left" vertical="center" wrapText="1"/>
    </xf>
    <xf numFmtId="2" fontId="1" fillId="5" borderId="9" xfId="0" applyNumberFormat="1" applyFont="1" applyFill="1" applyBorder="1" applyAlignment="1" applyProtection="1">
      <alignment horizontal="center" vertical="center"/>
    </xf>
    <xf numFmtId="2" fontId="1" fillId="5" borderId="4" xfId="0" applyNumberFormat="1" applyFont="1" applyFill="1" applyBorder="1" applyAlignment="1" applyProtection="1">
      <alignment horizontal="center" vertical="center"/>
    </xf>
    <xf numFmtId="2" fontId="1" fillId="5" borderId="10" xfId="0" applyNumberFormat="1" applyFont="1" applyFill="1" applyBorder="1" applyAlignment="1" applyProtection="1">
      <alignment horizontal="center" vertical="center"/>
    </xf>
    <xf numFmtId="2" fontId="1" fillId="5" borderId="11" xfId="0" applyNumberFormat="1" applyFont="1" applyFill="1" applyBorder="1" applyAlignment="1" applyProtection="1">
      <alignment horizontal="center" vertical="center"/>
    </xf>
    <xf numFmtId="2" fontId="1" fillId="5" borderId="7" xfId="0" applyNumberFormat="1" applyFont="1" applyFill="1" applyBorder="1" applyAlignment="1" applyProtection="1">
      <alignment horizontal="center" vertical="center"/>
    </xf>
    <xf numFmtId="2" fontId="1" fillId="5" borderId="8" xfId="0" applyNumberFormat="1" applyFont="1" applyFill="1" applyBorder="1" applyAlignment="1" applyProtection="1">
      <alignment horizontal="center" vertical="center"/>
    </xf>
    <xf numFmtId="1" fontId="2" fillId="5" borderId="2" xfId="0" applyNumberFormat="1" applyFont="1" applyFill="1" applyBorder="1" applyAlignment="1" applyProtection="1">
      <alignment horizontal="center" vertical="center"/>
    </xf>
    <xf numFmtId="1" fontId="2" fillId="5" borderId="5" xfId="0" applyNumberFormat="1" applyFont="1" applyFill="1" applyBorder="1" applyAlignment="1" applyProtection="1">
      <alignment horizontal="center" vertical="center"/>
    </xf>
    <xf numFmtId="1" fontId="2" fillId="5" borderId="6" xfId="0" applyNumberFormat="1" applyFont="1" applyFill="1" applyBorder="1" applyAlignment="1" applyProtection="1">
      <alignment horizontal="center" vertical="center"/>
    </xf>
    <xf numFmtId="1" fontId="1" fillId="5" borderId="2" xfId="0" applyNumberFormat="1" applyFont="1" applyFill="1" applyBorder="1" applyAlignment="1" applyProtection="1">
      <alignment horizontal="center" vertical="center"/>
      <protection locked="0"/>
    </xf>
    <xf numFmtId="1" fontId="1" fillId="5" borderId="6" xfId="0" applyNumberFormat="1" applyFont="1" applyFill="1" applyBorder="1" applyAlignment="1" applyProtection="1">
      <alignment horizontal="center" vertical="center"/>
      <protection locked="0"/>
    </xf>
    <xf numFmtId="1" fontId="1" fillId="3" borderId="2" xfId="0" applyNumberFormat="1" applyFont="1" applyFill="1" applyBorder="1" applyAlignment="1" applyProtection="1">
      <alignment horizontal="left" vertical="center" wrapText="1"/>
      <protection locked="0"/>
    </xf>
    <xf numFmtId="1" fontId="1" fillId="3" borderId="5" xfId="0" applyNumberFormat="1" applyFont="1" applyFill="1" applyBorder="1" applyAlignment="1" applyProtection="1">
      <alignment horizontal="left" vertical="center"/>
      <protection locked="0"/>
    </xf>
    <xf numFmtId="1" fontId="1" fillId="3" borderId="6" xfId="0" applyNumberFormat="1" applyFont="1" applyFill="1" applyBorder="1" applyAlignment="1" applyProtection="1">
      <alignment horizontal="left" vertical="center"/>
      <protection locked="0"/>
    </xf>
    <xf numFmtId="1" fontId="2" fillId="0" borderId="2" xfId="0" applyNumberFormat="1" applyFont="1" applyBorder="1" applyAlignment="1" applyProtection="1">
      <alignment horizontal="center" vertical="center"/>
      <protection locked="0"/>
    </xf>
    <xf numFmtId="1" fontId="1" fillId="0" borderId="5"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0" fontId="2" fillId="5" borderId="1" xfId="0" applyNumberFormat="1" applyFont="1" applyFill="1" applyBorder="1" applyAlignment="1" applyProtection="1">
      <alignment horizontal="center" vertical="center"/>
      <protection locked="0"/>
    </xf>
    <xf numFmtId="1" fontId="1" fillId="5" borderId="1" xfId="0" applyNumberFormat="1" applyFont="1" applyFill="1" applyBorder="1" applyAlignment="1" applyProtection="1">
      <alignment horizontal="left" vertical="center"/>
      <protection locked="0"/>
    </xf>
    <xf numFmtId="1" fontId="1" fillId="5" borderId="2" xfId="0" applyNumberFormat="1" applyFont="1" applyFill="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1" fillId="0" borderId="1" xfId="0" applyFont="1" applyBorder="1" applyProtection="1">
      <protection locked="0"/>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9" fontId="2" fillId="0" borderId="2" xfId="0" applyNumberFormat="1" applyFont="1" applyBorder="1" applyAlignment="1" applyProtection="1">
      <alignment horizontal="center" vertical="center"/>
    </xf>
    <xf numFmtId="9" fontId="2" fillId="0" borderId="6" xfId="0" applyNumberFormat="1" applyFont="1" applyBorder="1" applyAlignment="1" applyProtection="1">
      <alignment horizontal="center" vertical="center"/>
    </xf>
    <xf numFmtId="0" fontId="1" fillId="0" borderId="1"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7" xfId="0" applyFont="1" applyBorder="1" applyProtection="1">
      <protection locked="0"/>
    </xf>
    <xf numFmtId="0" fontId="1" fillId="0" borderId="2"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1" fontId="1" fillId="0" borderId="2" xfId="0" applyNumberFormat="1" applyFont="1" applyFill="1" applyBorder="1" applyAlignment="1" applyProtection="1">
      <alignment horizontal="center" vertical="center"/>
      <protection locked="0"/>
    </xf>
    <xf numFmtId="1" fontId="1" fillId="0" borderId="5" xfId="0" applyNumberFormat="1" applyFont="1" applyFill="1" applyBorder="1" applyAlignment="1" applyProtection="1">
      <alignment horizontal="center" vertical="center"/>
      <protection locked="0"/>
    </xf>
    <xf numFmtId="1" fontId="1" fillId="0" borderId="6" xfId="0" applyNumberFormat="1"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2" fillId="0" borderId="1" xfId="0" applyFont="1" applyBorder="1" applyAlignment="1">
      <alignment horizontal="left" vertical="center" wrapText="1"/>
    </xf>
    <xf numFmtId="0" fontId="2" fillId="0" borderId="1" xfId="0" applyFont="1" applyBorder="1" applyAlignment="1" applyProtection="1">
      <alignment horizontal="left" vertical="center" wrapText="1"/>
    </xf>
    <xf numFmtId="1" fontId="2" fillId="0" borderId="1" xfId="0" applyNumberFormat="1" applyFont="1" applyBorder="1" applyAlignment="1" applyProtection="1">
      <alignment horizontal="center" vertical="center"/>
      <protection locked="0"/>
    </xf>
    <xf numFmtId="1" fontId="1" fillId="3" borderId="2" xfId="0" applyNumberFormat="1" applyFont="1" applyFill="1" applyBorder="1" applyAlignment="1" applyProtection="1">
      <alignment horizontal="left" vertical="center"/>
      <protection locked="0"/>
    </xf>
    <xf numFmtId="0" fontId="1" fillId="3" borderId="2"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6" xfId="0" applyFont="1" applyFill="1" applyBorder="1" applyAlignment="1" applyProtection="1">
      <alignment horizontal="left" vertical="center"/>
      <protection locked="0"/>
    </xf>
    <xf numFmtId="10" fontId="2" fillId="0" borderId="2" xfId="0" applyNumberFormat="1" applyFont="1" applyBorder="1" applyAlignment="1" applyProtection="1">
      <alignment horizontal="left" vertical="center"/>
      <protection locked="0"/>
    </xf>
    <xf numFmtId="10" fontId="2" fillId="0" borderId="5" xfId="0" applyNumberFormat="1" applyFont="1" applyBorder="1" applyAlignment="1" applyProtection="1">
      <alignment horizontal="left" vertical="center"/>
      <protection locked="0"/>
    </xf>
    <xf numFmtId="10" fontId="2" fillId="0" borderId="6" xfId="0" applyNumberFormat="1" applyFont="1" applyBorder="1" applyAlignment="1" applyProtection="1">
      <alignment horizontal="left" vertical="center"/>
      <protection locked="0"/>
    </xf>
    <xf numFmtId="0" fontId="2" fillId="0" borderId="1"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1" fillId="0" borderId="2"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6" xfId="0" applyFont="1" applyFill="1" applyBorder="1" applyAlignment="1" applyProtection="1">
      <alignment horizontal="left" vertical="center"/>
    </xf>
    <xf numFmtId="0" fontId="2" fillId="0" borderId="0" xfId="0" applyFont="1" applyProtection="1">
      <protection locked="0"/>
    </xf>
    <xf numFmtId="0" fontId="1" fillId="0" borderId="0" xfId="0" applyFont="1" applyFill="1" applyBorder="1" applyAlignment="1" applyProtection="1">
      <alignment vertical="center" wrapText="1"/>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2"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1" fillId="5" borderId="5" xfId="0" applyFont="1" applyFill="1" applyBorder="1" applyAlignment="1" applyProtection="1">
      <alignment horizontal="center" vertical="center" wrapText="1"/>
      <protection locked="0"/>
    </xf>
    <xf numFmtId="0" fontId="1" fillId="5" borderId="6" xfId="0"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2" fillId="0" borderId="11" xfId="0" applyFont="1" applyBorder="1" applyAlignment="1" applyProtection="1">
      <alignment horizontal="center" vertical="center" wrapText="1"/>
      <protection locked="0"/>
    </xf>
    <xf numFmtId="0" fontId="1" fillId="0" borderId="7" xfId="0" applyFont="1" applyBorder="1" applyProtection="1">
      <protection locked="0"/>
    </xf>
    <xf numFmtId="0" fontId="1" fillId="0" borderId="8" xfId="0" applyFont="1" applyBorder="1" applyProtection="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vertical="center"/>
      <protection locked="0"/>
    </xf>
    <xf numFmtId="0" fontId="2"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10" fontId="11" fillId="0" borderId="2" xfId="0" applyNumberFormat="1" applyFont="1" applyBorder="1" applyAlignment="1" applyProtection="1">
      <alignment horizontal="center" vertical="center"/>
      <protection locked="0"/>
    </xf>
    <xf numFmtId="10" fontId="11" fillId="0" borderId="5" xfId="0" applyNumberFormat="1" applyFont="1" applyBorder="1" applyAlignment="1" applyProtection="1">
      <alignment horizontal="center" vertical="center"/>
      <protection locked="0"/>
    </xf>
    <xf numFmtId="10" fontId="11" fillId="0" borderId="6" xfId="0" applyNumberFormat="1" applyFont="1" applyBorder="1" applyAlignment="1" applyProtection="1">
      <alignment horizontal="center" vertical="center"/>
      <protection locked="0"/>
    </xf>
    <xf numFmtId="2" fontId="1" fillId="0" borderId="1" xfId="0" applyNumberFormat="1" applyFont="1" applyBorder="1" applyAlignment="1" applyProtection="1">
      <alignment horizontal="center" vertical="center" wrapText="1"/>
    </xf>
    <xf numFmtId="0" fontId="10" fillId="0" borderId="1" xfId="0" applyFont="1" applyBorder="1" applyAlignment="1" applyProtection="1">
      <alignment horizontal="left" vertical="center" wrapText="1"/>
    </xf>
    <xf numFmtId="0" fontId="1" fillId="3" borderId="2" xfId="0" applyFont="1" applyFill="1" applyBorder="1" applyAlignment="1" applyProtection="1">
      <alignment horizontal="left" vertical="top"/>
      <protection locked="0"/>
    </xf>
    <xf numFmtId="0" fontId="1" fillId="3" borderId="5"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1" fontId="1" fillId="3" borderId="1" xfId="0" applyNumberFormat="1"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6" xfId="0" applyFont="1" applyFill="1" applyBorder="1" applyAlignment="1" applyProtection="1">
      <alignment horizontal="left" vertical="center"/>
      <protection locked="0"/>
    </xf>
    <xf numFmtId="0" fontId="1" fillId="0" borderId="0" xfId="0" applyFont="1" applyBorder="1" applyProtection="1">
      <protection locked="0"/>
    </xf>
    <xf numFmtId="0" fontId="1" fillId="0" borderId="14" xfId="0" applyFont="1" applyBorder="1" applyProtection="1">
      <protection locked="0"/>
    </xf>
    <xf numFmtId="0" fontId="1" fillId="0" borderId="0" xfId="0" applyFont="1" applyProtection="1">
      <protection locked="0"/>
    </xf>
    <xf numFmtId="1" fontId="1" fillId="0" borderId="1" xfId="0" applyNumberFormat="1"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0" fillId="0" borderId="2"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 fillId="0" borderId="2" xfId="0" applyFont="1" applyFill="1" applyBorder="1" applyAlignment="1" applyProtection="1">
      <alignment horizontal="center"/>
    </xf>
    <xf numFmtId="0" fontId="1" fillId="0" borderId="6" xfId="0" applyFont="1" applyFill="1" applyBorder="1" applyAlignment="1" applyProtection="1">
      <alignment horizontal="center"/>
    </xf>
    <xf numFmtId="9" fontId="1" fillId="0" borderId="2" xfId="0" applyNumberFormat="1" applyFont="1" applyBorder="1" applyAlignment="1" applyProtection="1">
      <alignment horizontal="center"/>
    </xf>
    <xf numFmtId="9" fontId="1" fillId="0" borderId="6" xfId="0" applyNumberFormat="1" applyFont="1" applyBorder="1" applyAlignment="1" applyProtection="1">
      <alignment horizontal="center"/>
    </xf>
    <xf numFmtId="0" fontId="1" fillId="5" borderId="2" xfId="0" applyNumberFormat="1" applyFont="1" applyFill="1" applyBorder="1" applyAlignment="1" applyProtection="1">
      <alignment horizontal="center" vertical="center" wrapText="1"/>
      <protection locked="0"/>
    </xf>
    <xf numFmtId="0" fontId="1" fillId="5" borderId="5" xfId="0" applyNumberFormat="1" applyFont="1" applyFill="1" applyBorder="1" applyAlignment="1" applyProtection="1">
      <alignment horizontal="center" vertical="center" wrapText="1"/>
      <protection locked="0"/>
    </xf>
    <xf numFmtId="0" fontId="1" fillId="5" borderId="6" xfId="0" applyNumberFormat="1" applyFont="1" applyFill="1" applyBorder="1" applyAlignment="1" applyProtection="1">
      <alignment horizontal="center" vertical="center" wrapText="1"/>
      <protection locked="0"/>
    </xf>
    <xf numFmtId="0" fontId="17" fillId="0" borderId="4"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23" fillId="0" borderId="5" xfId="0" applyFont="1" applyBorder="1" applyAlignment="1" applyProtection="1">
      <alignment horizontal="center" vertical="center" wrapText="1"/>
      <protection locked="0"/>
    </xf>
    <xf numFmtId="0" fontId="23" fillId="0" borderId="6" xfId="0" applyFont="1" applyBorder="1" applyAlignment="1" applyProtection="1">
      <alignment horizontal="center" vertical="center" wrapText="1"/>
      <protection locked="0"/>
    </xf>
    <xf numFmtId="10" fontId="1" fillId="0" borderId="1" xfId="0" applyNumberFormat="1" applyFont="1" applyBorder="1" applyAlignment="1" applyProtection="1">
      <alignment horizontal="center" vertical="center" wrapText="1"/>
      <protection locked="0"/>
    </xf>
    <xf numFmtId="0" fontId="23" fillId="0" borderId="6"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23" fillId="0" borderId="0" xfId="0" applyFont="1" applyBorder="1" applyAlignment="1" applyProtection="1">
      <alignment horizontal="left" vertical="center" wrapText="1"/>
      <protection locked="0"/>
    </xf>
    <xf numFmtId="0" fontId="22" fillId="4"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5" xfId="0" applyFont="1" applyFill="1" applyBorder="1" applyAlignment="1" applyProtection="1">
      <alignment horizontal="center" vertical="center" wrapText="1"/>
      <protection locked="0"/>
    </xf>
    <xf numFmtId="0" fontId="1" fillId="7" borderId="6" xfId="0" applyFont="1" applyFill="1" applyBorder="1" applyAlignment="1" applyProtection="1">
      <alignment horizontal="center" vertical="center" wrapText="1"/>
      <protection locked="0"/>
    </xf>
    <xf numFmtId="0" fontId="2" fillId="0" borderId="4"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6" fillId="3" borderId="2" xfId="0" applyFont="1" applyFill="1" applyBorder="1" applyAlignment="1" applyProtection="1">
      <alignment horizontal="left" vertical="center"/>
      <protection locked="0"/>
    </xf>
    <xf numFmtId="0" fontId="26" fillId="3" borderId="5" xfId="0"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 xfId="0" applyFont="1" applyFill="1" applyBorder="1" applyAlignment="1" applyProtection="1">
      <alignment horizontal="center" vertical="center"/>
      <protection locked="0"/>
    </xf>
    <xf numFmtId="165" fontId="26" fillId="3" borderId="1" xfId="0" applyNumberFormat="1" applyFont="1" applyFill="1" applyBorder="1" applyAlignment="1" applyProtection="1">
      <alignment horizontal="center" vertical="center"/>
      <protection locked="0"/>
    </xf>
    <xf numFmtId="165" fontId="26" fillId="0" borderId="1" xfId="0" applyNumberFormat="1" applyFont="1" applyBorder="1" applyAlignment="1" applyProtection="1">
      <alignment horizontal="center" vertical="center"/>
    </xf>
    <xf numFmtId="2" fontId="26" fillId="3" borderId="1" xfId="0" applyNumberFormat="1" applyFont="1" applyFill="1" applyBorder="1" applyAlignment="1" applyProtection="1">
      <alignment horizontal="center" vertical="center"/>
      <protection locked="0"/>
    </xf>
    <xf numFmtId="0" fontId="26" fillId="0" borderId="2" xfId="0" applyFont="1" applyFill="1" applyBorder="1" applyAlignment="1" applyProtection="1">
      <alignment horizontal="left" vertical="center"/>
      <protection locked="0"/>
    </xf>
    <xf numFmtId="0" fontId="26" fillId="0" borderId="5" xfId="0" applyFont="1" applyFill="1" applyBorder="1" applyAlignment="1" applyProtection="1">
      <alignment horizontal="left" vertical="center"/>
      <protection locked="0"/>
    </xf>
    <xf numFmtId="0" fontId="26" fillId="0" borderId="6" xfId="0" applyFont="1" applyFill="1" applyBorder="1" applyAlignment="1" applyProtection="1">
      <alignment horizontal="left" vertical="center"/>
      <protection locked="0"/>
    </xf>
    <xf numFmtId="0" fontId="26" fillId="0" borderId="1" xfId="0" applyFont="1" applyFill="1" applyBorder="1" applyAlignment="1" applyProtection="1">
      <alignment horizontal="center" vertical="center"/>
      <protection locked="0"/>
    </xf>
    <xf numFmtId="165" fontId="26" fillId="0" borderId="1" xfId="0" applyNumberFormat="1" applyFont="1" applyFill="1" applyBorder="1" applyAlignment="1" applyProtection="1">
      <alignment horizontal="center" vertical="center"/>
      <protection locked="0"/>
    </xf>
    <xf numFmtId="2" fontId="26" fillId="0" borderId="1" xfId="0" applyNumberFormat="1" applyFont="1" applyFill="1" applyBorder="1" applyAlignment="1" applyProtection="1">
      <alignment horizontal="center" vertical="center"/>
    </xf>
    <xf numFmtId="0" fontId="24" fillId="0" borderId="2" xfId="0" applyFont="1" applyBorder="1" applyAlignment="1" applyProtection="1">
      <alignment horizontal="center" vertical="center"/>
    </xf>
    <xf numFmtId="0" fontId="24" fillId="0" borderId="5" xfId="0" applyFont="1" applyBorder="1" applyAlignment="1" applyProtection="1">
      <alignment horizontal="center" vertical="center"/>
    </xf>
    <xf numFmtId="0" fontId="24" fillId="0" borderId="6" xfId="0" applyFont="1" applyBorder="1" applyAlignment="1" applyProtection="1">
      <alignment horizontal="center" vertical="center"/>
    </xf>
    <xf numFmtId="0" fontId="24" fillId="0" borderId="1" xfId="0" applyFont="1" applyBorder="1" applyAlignment="1" applyProtection="1">
      <alignment horizontal="center" vertical="center"/>
    </xf>
    <xf numFmtId="165" fontId="24" fillId="0" borderId="1" xfId="0" applyNumberFormat="1" applyFont="1" applyBorder="1" applyAlignment="1" applyProtection="1">
      <alignment horizontal="center" vertical="center"/>
    </xf>
    <xf numFmtId="1" fontId="26" fillId="3" borderId="1" xfId="0" applyNumberFormat="1" applyFont="1" applyFill="1" applyBorder="1" applyAlignment="1" applyProtection="1">
      <alignment horizontal="left" vertical="center"/>
      <protection locked="0"/>
    </xf>
  </cellXfs>
  <cellStyles count="1">
    <cellStyle name="Normal" xfId="0" builtinId="0"/>
  </cellStyles>
  <dxfs count="30">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92D050"/>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rgb="FFC00000"/>
        </patternFill>
      </fill>
    </dxf>
    <dxf>
      <fill>
        <patternFill>
          <bgColor rgb="FFC00000"/>
        </patternFill>
      </fill>
    </dxf>
    <dxf>
      <fill>
        <patternFill>
          <bgColor rgb="FF00B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12"/>
  <sheetViews>
    <sheetView tabSelected="1" showRuler="0" view="pageLayout" topLeftCell="A288" zoomScaleNormal="100" zoomScaleSheetLayoutView="70" workbookViewId="0">
      <selection activeCell="A266" sqref="A266:U266"/>
    </sheetView>
  </sheetViews>
  <sheetFormatPr defaultColWidth="9.140625" defaultRowHeight="12.75" x14ac:dyDescent="0.2"/>
  <cols>
    <col min="1" max="1" width="9.42578125" style="1" customWidth="1"/>
    <col min="2" max="2" width="7.140625" style="1" customWidth="1"/>
    <col min="3" max="3" width="7.28515625" style="1" customWidth="1"/>
    <col min="4" max="5" width="4.7109375" style="1" customWidth="1"/>
    <col min="6" max="6" width="4.5703125" style="1" customWidth="1"/>
    <col min="7" max="7" width="8.140625" style="1" customWidth="1"/>
    <col min="8" max="8" width="8.28515625" style="1" customWidth="1"/>
    <col min="9" max="9" width="5.42578125" style="1" customWidth="1"/>
    <col min="10" max="10" width="6.85546875" style="1" customWidth="1"/>
    <col min="11" max="11" width="5.7109375" style="1" customWidth="1"/>
    <col min="12" max="12" width="4.85546875" style="1" customWidth="1"/>
    <col min="13" max="13" width="5.5703125" style="1" customWidth="1"/>
    <col min="14" max="14" width="5.5703125" style="47" customWidth="1"/>
    <col min="15" max="15" width="5.7109375" style="1" customWidth="1"/>
    <col min="16" max="16" width="6.42578125" style="1" customWidth="1"/>
    <col min="17" max="17" width="6.7109375" style="1" customWidth="1"/>
    <col min="18" max="18" width="4.5703125" style="1" customWidth="1"/>
    <col min="19" max="20" width="5" style="1" customWidth="1"/>
    <col min="21" max="21" width="9.140625" style="1" customWidth="1"/>
    <col min="22" max="16384" width="9.140625" style="1"/>
  </cols>
  <sheetData>
    <row r="1" spans="1:27" ht="15.75" customHeight="1" x14ac:dyDescent="0.2">
      <c r="A1" s="191" t="s">
        <v>243</v>
      </c>
      <c r="B1" s="191"/>
      <c r="C1" s="191"/>
      <c r="D1" s="191"/>
      <c r="E1" s="191"/>
      <c r="F1" s="191"/>
      <c r="G1" s="191"/>
      <c r="H1" s="191"/>
      <c r="I1" s="191"/>
      <c r="J1" s="191"/>
      <c r="K1" s="191"/>
      <c r="M1" s="241" t="s">
        <v>22</v>
      </c>
      <c r="N1" s="241"/>
      <c r="O1" s="241"/>
      <c r="P1" s="241"/>
      <c r="Q1" s="241"/>
      <c r="R1" s="241"/>
      <c r="S1" s="241"/>
      <c r="T1" s="241"/>
      <c r="U1" s="241"/>
    </row>
    <row r="2" spans="1:27" ht="6.75" customHeight="1" x14ac:dyDescent="0.2">
      <c r="A2" s="191"/>
      <c r="B2" s="191"/>
      <c r="C2" s="191"/>
      <c r="D2" s="191"/>
      <c r="E2" s="191"/>
      <c r="F2" s="191"/>
      <c r="G2" s="191"/>
      <c r="H2" s="191"/>
      <c r="I2" s="191"/>
      <c r="J2" s="191"/>
      <c r="K2" s="191"/>
    </row>
    <row r="3" spans="1:27" ht="18" customHeight="1" x14ac:dyDescent="0.2">
      <c r="A3" s="237" t="s">
        <v>107</v>
      </c>
      <c r="B3" s="237"/>
      <c r="C3" s="237"/>
      <c r="D3" s="237"/>
      <c r="E3" s="237"/>
      <c r="F3" s="237"/>
      <c r="G3" s="237"/>
      <c r="H3" s="237"/>
      <c r="I3" s="237"/>
      <c r="J3" s="237"/>
      <c r="K3" s="237"/>
      <c r="M3" s="246"/>
      <c r="N3" s="247"/>
      <c r="O3" s="248"/>
      <c r="P3" s="188" t="s">
        <v>38</v>
      </c>
      <c r="Q3" s="189"/>
      <c r="R3" s="190"/>
      <c r="S3" s="188" t="s">
        <v>39</v>
      </c>
      <c r="T3" s="189"/>
      <c r="U3" s="190"/>
      <c r="V3" s="147" t="str">
        <f>IF(P4&gt;=20,"Corect","Trebuie alocate cel puțin 20 de ore pe săptămână")</f>
        <v>Corect</v>
      </c>
      <c r="W3" s="148"/>
      <c r="X3" s="148"/>
      <c r="Y3" s="148"/>
      <c r="Z3" s="66"/>
      <c r="AA3" s="66"/>
    </row>
    <row r="4" spans="1:27" ht="17.25" customHeight="1" x14ac:dyDescent="0.2">
      <c r="A4" s="237" t="s">
        <v>244</v>
      </c>
      <c r="B4" s="237"/>
      <c r="C4" s="237"/>
      <c r="D4" s="237"/>
      <c r="E4" s="237"/>
      <c r="F4" s="237"/>
      <c r="G4" s="237"/>
      <c r="H4" s="237"/>
      <c r="I4" s="237"/>
      <c r="J4" s="237"/>
      <c r="K4" s="237"/>
      <c r="M4" s="108" t="s">
        <v>15</v>
      </c>
      <c r="N4" s="109"/>
      <c r="O4" s="110"/>
      <c r="P4" s="250">
        <f>O48</f>
        <v>25</v>
      </c>
      <c r="Q4" s="251"/>
      <c r="R4" s="252"/>
      <c r="S4" s="290">
        <f>O63</f>
        <v>23.5</v>
      </c>
      <c r="T4" s="291"/>
      <c r="U4" s="292"/>
      <c r="V4" s="147" t="str">
        <f>IF(S4&gt;=20,"Corect","Trebuie alocate cel puțin 20 de ore pe săptămână")</f>
        <v>Corect</v>
      </c>
      <c r="W4" s="148"/>
      <c r="X4" s="148"/>
      <c r="Y4" s="148"/>
      <c r="Z4" s="66"/>
      <c r="AA4" s="66"/>
    </row>
    <row r="5" spans="1:27" ht="16.5" customHeight="1" x14ac:dyDescent="0.2">
      <c r="A5" s="237"/>
      <c r="B5" s="237"/>
      <c r="C5" s="237"/>
      <c r="D5" s="237"/>
      <c r="E5" s="237"/>
      <c r="F5" s="237"/>
      <c r="G5" s="237"/>
      <c r="H5" s="237"/>
      <c r="I5" s="237"/>
      <c r="J5" s="237"/>
      <c r="K5" s="237"/>
      <c r="M5" s="108" t="s">
        <v>16</v>
      </c>
      <c r="N5" s="109"/>
      <c r="O5" s="110"/>
      <c r="P5" s="250">
        <f>O82</f>
        <v>22</v>
      </c>
      <c r="Q5" s="251"/>
      <c r="R5" s="252"/>
      <c r="S5" s="250">
        <f>O101</f>
        <v>23</v>
      </c>
      <c r="T5" s="251"/>
      <c r="U5" s="252"/>
      <c r="V5" s="147" t="str">
        <f>IF(P5&gt;=20,"Corect","Trebuie alocate cel puțin 20 de ore pe săptămână")</f>
        <v>Corect</v>
      </c>
      <c r="W5" s="148"/>
      <c r="X5" s="148"/>
      <c r="Y5" s="148"/>
      <c r="Z5" s="66"/>
      <c r="AA5" s="66"/>
    </row>
    <row r="6" spans="1:27" ht="15" customHeight="1" x14ac:dyDescent="0.2">
      <c r="A6" s="259" t="s">
        <v>124</v>
      </c>
      <c r="B6" s="259"/>
      <c r="C6" s="259"/>
      <c r="D6" s="259"/>
      <c r="E6" s="259"/>
      <c r="F6" s="259"/>
      <c r="G6" s="259"/>
      <c r="H6" s="259"/>
      <c r="I6" s="259"/>
      <c r="J6" s="259"/>
      <c r="K6" s="259"/>
      <c r="M6" s="108" t="s">
        <v>17</v>
      </c>
      <c r="N6" s="109"/>
      <c r="O6" s="110"/>
      <c r="P6" s="250">
        <f>O117</f>
        <v>21</v>
      </c>
      <c r="Q6" s="251"/>
      <c r="R6" s="252"/>
      <c r="S6" s="250">
        <f>O131</f>
        <v>21.5</v>
      </c>
      <c r="T6" s="251"/>
      <c r="U6" s="252"/>
      <c r="V6" s="147" t="str">
        <f>IF(S5&gt;=20,"Corect","Trebuie alocate cel puțin 20 de ore pe săptămână")</f>
        <v>Corect</v>
      </c>
      <c r="W6" s="148"/>
      <c r="X6" s="148"/>
      <c r="Y6" s="148"/>
      <c r="Z6" s="66"/>
      <c r="AA6" s="66"/>
    </row>
    <row r="7" spans="1:27" s="103" customFormat="1" x14ac:dyDescent="0.2">
      <c r="A7" s="259" t="s">
        <v>125</v>
      </c>
      <c r="B7" s="259"/>
      <c r="C7" s="259"/>
      <c r="D7" s="259"/>
      <c r="E7" s="259"/>
      <c r="F7" s="259"/>
      <c r="G7" s="259"/>
      <c r="H7" s="259"/>
      <c r="I7" s="259"/>
      <c r="J7" s="259"/>
      <c r="K7" s="259"/>
      <c r="M7" s="11"/>
      <c r="V7" s="105"/>
      <c r="W7" s="106"/>
      <c r="X7" s="106"/>
      <c r="Y7" s="106"/>
      <c r="Z7" s="66"/>
      <c r="AA7" s="66"/>
    </row>
    <row r="8" spans="1:27" x14ac:dyDescent="0.2">
      <c r="A8" s="259"/>
      <c r="B8" s="259"/>
      <c r="C8" s="259"/>
      <c r="D8" s="259"/>
      <c r="E8" s="259"/>
      <c r="F8" s="259"/>
      <c r="G8" s="259"/>
      <c r="H8" s="259"/>
      <c r="I8" s="259"/>
      <c r="J8" s="259"/>
      <c r="K8" s="259"/>
      <c r="N8" s="103"/>
      <c r="O8" s="103"/>
      <c r="P8" s="103"/>
      <c r="Q8" s="103"/>
      <c r="R8" s="103"/>
      <c r="S8" s="103"/>
      <c r="T8" s="103"/>
      <c r="U8" s="103"/>
      <c r="V8" s="147" t="str">
        <f>IF(P6&gt;=20,"Corect","Trebuie alocate cel puțin 20 de ore pe săptămână")</f>
        <v>Corect</v>
      </c>
      <c r="W8" s="148"/>
      <c r="X8" s="148"/>
      <c r="Y8" s="148"/>
      <c r="Z8" s="66"/>
      <c r="AA8" s="66"/>
    </row>
    <row r="9" spans="1:27" ht="18.75" customHeight="1" x14ac:dyDescent="0.2">
      <c r="A9" s="245" t="s">
        <v>126</v>
      </c>
      <c r="B9" s="245"/>
      <c r="C9" s="245"/>
      <c r="D9" s="245"/>
      <c r="E9" s="245"/>
      <c r="F9" s="245"/>
      <c r="G9" s="245"/>
      <c r="H9" s="245"/>
      <c r="I9" s="245"/>
      <c r="J9" s="245"/>
      <c r="K9" s="245"/>
      <c r="M9" s="259" t="s">
        <v>245</v>
      </c>
      <c r="N9" s="259"/>
      <c r="O9" s="259"/>
      <c r="P9" s="259"/>
      <c r="Q9" s="259"/>
      <c r="R9" s="259"/>
      <c r="S9" s="259"/>
      <c r="T9" s="259"/>
      <c r="U9" s="259"/>
      <c r="V9" s="147" t="str">
        <f>IF(S6&gt;=20,"Corect","Trebuie alocate cel puțin 20 de ore pe săptămână")</f>
        <v>Corect</v>
      </c>
      <c r="W9" s="148"/>
      <c r="X9" s="148"/>
      <c r="Y9" s="148"/>
      <c r="Z9" s="66"/>
      <c r="AA9" s="66"/>
    </row>
    <row r="10" spans="1:27" ht="15" customHeight="1" x14ac:dyDescent="0.2">
      <c r="A10" s="245" t="s">
        <v>127</v>
      </c>
      <c r="B10" s="245"/>
      <c r="C10" s="245"/>
      <c r="D10" s="245"/>
      <c r="E10" s="245"/>
      <c r="F10" s="245"/>
      <c r="G10" s="245"/>
      <c r="H10" s="245"/>
      <c r="I10" s="245"/>
      <c r="J10" s="245"/>
      <c r="K10" s="245"/>
      <c r="M10" s="259"/>
      <c r="N10" s="259"/>
      <c r="O10" s="259"/>
      <c r="P10" s="259"/>
      <c r="Q10" s="259"/>
      <c r="R10" s="259"/>
      <c r="S10" s="259"/>
      <c r="T10" s="259"/>
      <c r="U10" s="259"/>
    </row>
    <row r="11" spans="1:27" ht="16.5" customHeight="1" x14ac:dyDescent="0.2">
      <c r="A11" s="245" t="s">
        <v>19</v>
      </c>
      <c r="B11" s="245"/>
      <c r="C11" s="245"/>
      <c r="D11" s="245"/>
      <c r="E11" s="245"/>
      <c r="F11" s="245"/>
      <c r="G11" s="245"/>
      <c r="H11" s="245"/>
      <c r="I11" s="245"/>
      <c r="J11" s="245"/>
      <c r="K11" s="245"/>
      <c r="M11" s="259"/>
      <c r="N11" s="259"/>
      <c r="O11" s="259"/>
      <c r="P11" s="259"/>
      <c r="Q11" s="259"/>
      <c r="R11" s="259"/>
      <c r="S11" s="259"/>
      <c r="T11" s="259"/>
      <c r="U11" s="259"/>
      <c r="V11" s="150" t="s">
        <v>114</v>
      </c>
      <c r="W11" s="150"/>
      <c r="X11" s="150"/>
      <c r="Y11" s="150"/>
      <c r="Z11" s="67"/>
      <c r="AA11" s="67"/>
    </row>
    <row r="12" spans="1:27" x14ac:dyDescent="0.2">
      <c r="A12" s="245" t="s">
        <v>20</v>
      </c>
      <c r="B12" s="245"/>
      <c r="C12" s="245"/>
      <c r="D12" s="245"/>
      <c r="E12" s="245"/>
      <c r="F12" s="245"/>
      <c r="G12" s="245"/>
      <c r="H12" s="245"/>
      <c r="I12" s="245"/>
      <c r="J12" s="245"/>
      <c r="K12" s="245"/>
      <c r="M12" s="259"/>
      <c r="N12" s="259"/>
      <c r="O12" s="259"/>
      <c r="P12" s="259"/>
      <c r="Q12" s="259"/>
      <c r="R12" s="259"/>
      <c r="S12" s="259"/>
      <c r="T12" s="259"/>
      <c r="U12" s="259"/>
      <c r="V12" s="150"/>
      <c r="W12" s="150"/>
      <c r="X12" s="150"/>
      <c r="Y12" s="150"/>
      <c r="Z12" s="67"/>
      <c r="AA12" s="67"/>
    </row>
    <row r="13" spans="1:27" ht="10.5" customHeight="1" x14ac:dyDescent="0.2">
      <c r="A13" s="245"/>
      <c r="B13" s="245"/>
      <c r="C13" s="245"/>
      <c r="D13" s="245"/>
      <c r="E13" s="245"/>
      <c r="F13" s="245"/>
      <c r="G13" s="245"/>
      <c r="H13" s="245"/>
      <c r="I13" s="245"/>
      <c r="J13" s="245"/>
      <c r="K13" s="245"/>
      <c r="M13" s="2"/>
      <c r="N13" s="45"/>
      <c r="O13" s="2"/>
      <c r="P13" s="2"/>
      <c r="Q13" s="2"/>
      <c r="R13" s="2"/>
      <c r="S13" s="2"/>
      <c r="V13" s="150"/>
      <c r="W13" s="150"/>
      <c r="X13" s="150"/>
      <c r="Y13" s="150"/>
      <c r="Z13" s="67"/>
      <c r="AA13" s="67"/>
    </row>
    <row r="14" spans="1:27" x14ac:dyDescent="0.2">
      <c r="A14" s="260" t="s">
        <v>0</v>
      </c>
      <c r="B14" s="260"/>
      <c r="C14" s="260"/>
      <c r="D14" s="260"/>
      <c r="E14" s="260"/>
      <c r="F14" s="260"/>
      <c r="G14" s="260"/>
      <c r="H14" s="260"/>
      <c r="I14" s="260"/>
      <c r="J14" s="260"/>
      <c r="K14" s="260"/>
      <c r="M14" s="261" t="s">
        <v>23</v>
      </c>
      <c r="N14" s="261"/>
      <c r="O14" s="261"/>
      <c r="P14" s="261"/>
      <c r="Q14" s="261"/>
      <c r="R14" s="261"/>
      <c r="S14" s="261"/>
      <c r="T14" s="261"/>
      <c r="U14" s="261"/>
      <c r="V14" s="150"/>
      <c r="W14" s="150"/>
      <c r="X14" s="150"/>
      <c r="Y14" s="150"/>
    </row>
    <row r="15" spans="1:27" ht="12.75" customHeight="1" x14ac:dyDescent="0.2">
      <c r="A15" s="260" t="s">
        <v>1</v>
      </c>
      <c r="B15" s="260"/>
      <c r="C15" s="260"/>
      <c r="D15" s="260"/>
      <c r="E15" s="260"/>
      <c r="F15" s="260"/>
      <c r="G15" s="260"/>
      <c r="H15" s="260"/>
      <c r="I15" s="260"/>
      <c r="J15" s="260"/>
      <c r="K15" s="260"/>
      <c r="M15" s="242" t="s">
        <v>246</v>
      </c>
      <c r="N15" s="242"/>
      <c r="O15" s="242"/>
      <c r="P15" s="242"/>
      <c r="Q15" s="242"/>
      <c r="R15" s="242"/>
      <c r="S15" s="242"/>
      <c r="T15" s="242"/>
      <c r="U15" s="242"/>
      <c r="V15" s="150"/>
      <c r="W15" s="150"/>
      <c r="X15" s="150"/>
      <c r="Y15" s="150"/>
    </row>
    <row r="16" spans="1:27" ht="15" customHeight="1" x14ac:dyDescent="0.2">
      <c r="A16" s="245" t="s">
        <v>128</v>
      </c>
      <c r="B16" s="245"/>
      <c r="C16" s="245"/>
      <c r="D16" s="245"/>
      <c r="E16" s="245"/>
      <c r="F16" s="245"/>
      <c r="G16" s="245"/>
      <c r="H16" s="245"/>
      <c r="I16" s="245"/>
      <c r="J16" s="245"/>
      <c r="K16" s="245"/>
      <c r="M16" s="262" t="s">
        <v>247</v>
      </c>
      <c r="N16" s="262"/>
      <c r="O16" s="262"/>
      <c r="P16" s="262"/>
      <c r="Q16" s="262"/>
      <c r="R16" s="262"/>
      <c r="S16" s="262"/>
      <c r="T16" s="262"/>
      <c r="U16" s="262"/>
      <c r="V16" s="150"/>
      <c r="W16" s="150"/>
      <c r="X16" s="150"/>
      <c r="Y16" s="150"/>
      <c r="Z16" s="68"/>
      <c r="AA16" s="68"/>
    </row>
    <row r="17" spans="1:27" ht="15" customHeight="1" x14ac:dyDescent="0.2">
      <c r="A17" s="245" t="s">
        <v>129</v>
      </c>
      <c r="B17" s="245"/>
      <c r="C17" s="245"/>
      <c r="D17" s="245"/>
      <c r="E17" s="245"/>
      <c r="F17" s="245"/>
      <c r="G17" s="245"/>
      <c r="H17" s="245"/>
      <c r="I17" s="245"/>
      <c r="J17" s="245"/>
      <c r="K17" s="245"/>
      <c r="M17" s="262" t="s">
        <v>248</v>
      </c>
      <c r="N17" s="262"/>
      <c r="O17" s="262"/>
      <c r="P17" s="262"/>
      <c r="Q17" s="262"/>
      <c r="R17" s="262"/>
      <c r="S17" s="262"/>
      <c r="T17" s="262"/>
      <c r="U17" s="262"/>
      <c r="V17" s="68"/>
      <c r="W17" s="68"/>
      <c r="X17" s="68"/>
      <c r="Y17" s="68"/>
      <c r="Z17" s="68"/>
      <c r="AA17" s="68"/>
    </row>
    <row r="18" spans="1:27" ht="15" customHeight="1" x14ac:dyDescent="0.2">
      <c r="A18" s="96" t="s">
        <v>130</v>
      </c>
      <c r="B18" s="96"/>
      <c r="C18" s="96"/>
      <c r="D18" s="96"/>
      <c r="E18" s="96"/>
      <c r="F18" s="96"/>
      <c r="G18" s="96"/>
      <c r="H18" s="96"/>
      <c r="I18" s="96"/>
      <c r="J18" s="96"/>
      <c r="K18" s="96"/>
      <c r="M18" s="262"/>
      <c r="N18" s="262"/>
      <c r="O18" s="262"/>
      <c r="P18" s="262"/>
      <c r="Q18" s="262"/>
      <c r="R18" s="262"/>
      <c r="S18" s="262"/>
      <c r="T18" s="262"/>
      <c r="U18" s="262"/>
      <c r="V18" s="68"/>
      <c r="W18" s="68"/>
      <c r="X18" s="68"/>
      <c r="Y18" s="68"/>
      <c r="Z18" s="68"/>
      <c r="AA18" s="68"/>
    </row>
    <row r="19" spans="1:27" ht="14.25" customHeight="1" x14ac:dyDescent="0.2">
      <c r="A19" s="245" t="s">
        <v>239</v>
      </c>
      <c r="B19" s="245"/>
      <c r="C19" s="245"/>
      <c r="D19" s="245"/>
      <c r="E19" s="245"/>
      <c r="F19" s="245"/>
      <c r="G19" s="245"/>
      <c r="H19" s="245"/>
      <c r="I19" s="245"/>
      <c r="J19" s="245"/>
      <c r="K19" s="245"/>
      <c r="M19" s="259" t="s">
        <v>132</v>
      </c>
      <c r="N19" s="259"/>
      <c r="O19" s="259"/>
      <c r="P19" s="259"/>
      <c r="Q19" s="259"/>
      <c r="R19" s="259"/>
      <c r="S19" s="259"/>
      <c r="T19" s="259"/>
      <c r="U19" s="259"/>
      <c r="V19" s="68"/>
      <c r="W19" s="68"/>
      <c r="X19" s="68"/>
      <c r="Y19" s="68"/>
      <c r="Z19" s="68"/>
      <c r="AA19" s="68"/>
    </row>
    <row r="20" spans="1:27" ht="15" customHeight="1" x14ac:dyDescent="0.2">
      <c r="A20" s="245" t="s">
        <v>109</v>
      </c>
      <c r="B20" s="245"/>
      <c r="C20" s="245"/>
      <c r="D20" s="245"/>
      <c r="E20" s="245"/>
      <c r="F20" s="245"/>
      <c r="G20" s="245"/>
      <c r="H20" s="245"/>
      <c r="I20" s="245"/>
      <c r="J20" s="245"/>
      <c r="K20" s="245"/>
      <c r="M20" s="259"/>
      <c r="N20" s="259"/>
      <c r="O20" s="259"/>
      <c r="P20" s="259"/>
      <c r="Q20" s="259"/>
      <c r="R20" s="259"/>
      <c r="S20" s="259"/>
      <c r="T20" s="259"/>
      <c r="U20" s="259"/>
      <c r="V20" s="68"/>
      <c r="W20" s="68"/>
      <c r="X20" s="68"/>
      <c r="Y20" s="68"/>
      <c r="Z20" s="68"/>
      <c r="AA20" s="68"/>
    </row>
    <row r="21" spans="1:27" s="54" customFormat="1" ht="15" customHeight="1" x14ac:dyDescent="0.2">
      <c r="A21" s="245" t="s">
        <v>2</v>
      </c>
      <c r="B21" s="245"/>
      <c r="C21" s="245"/>
      <c r="D21" s="245"/>
      <c r="E21" s="245"/>
      <c r="F21" s="245"/>
      <c r="G21" s="245"/>
      <c r="H21" s="245"/>
      <c r="I21" s="245"/>
      <c r="J21" s="245"/>
      <c r="K21" s="245"/>
      <c r="M21" s="259"/>
      <c r="N21" s="259"/>
      <c r="O21" s="259"/>
      <c r="P21" s="259"/>
      <c r="Q21" s="259"/>
      <c r="R21" s="259"/>
      <c r="S21" s="259"/>
      <c r="T21" s="259"/>
      <c r="U21" s="259"/>
      <c r="V21" s="68"/>
      <c r="W21" s="68"/>
      <c r="X21" s="68"/>
      <c r="Y21" s="68"/>
      <c r="Z21" s="68"/>
      <c r="AA21" s="68"/>
    </row>
    <row r="22" spans="1:27" s="29" customFormat="1" ht="10.5" customHeight="1" x14ac:dyDescent="0.2">
      <c r="A22" s="28"/>
      <c r="B22" s="28"/>
      <c r="C22" s="28"/>
      <c r="D22" s="28"/>
      <c r="E22" s="28"/>
      <c r="F22" s="28"/>
      <c r="G22" s="28"/>
      <c r="H22" s="28"/>
      <c r="I22" s="28"/>
      <c r="J22" s="28"/>
      <c r="K22" s="28"/>
      <c r="M22" s="259"/>
      <c r="N22" s="259"/>
      <c r="O22" s="259"/>
      <c r="P22" s="259"/>
      <c r="Q22" s="259"/>
      <c r="R22" s="259"/>
      <c r="S22" s="259"/>
      <c r="T22" s="259"/>
      <c r="U22" s="259"/>
      <c r="V22" s="68"/>
      <c r="W22" s="68"/>
      <c r="X22" s="68"/>
      <c r="Y22" s="68"/>
      <c r="Z22" s="68"/>
      <c r="AA22" s="68"/>
    </row>
    <row r="23" spans="1:27" ht="7.5" customHeight="1" x14ac:dyDescent="0.2">
      <c r="A23" s="253" t="s">
        <v>80</v>
      </c>
      <c r="B23" s="253"/>
      <c r="C23" s="253"/>
      <c r="D23" s="253"/>
      <c r="E23" s="253"/>
      <c r="F23" s="253"/>
      <c r="G23" s="253"/>
      <c r="H23" s="253"/>
      <c r="I23" s="253"/>
      <c r="J23" s="253"/>
      <c r="K23" s="253"/>
      <c r="M23" s="259"/>
      <c r="N23" s="259"/>
      <c r="O23" s="259"/>
      <c r="P23" s="259"/>
      <c r="Q23" s="259"/>
      <c r="R23" s="259"/>
      <c r="S23" s="259"/>
      <c r="T23" s="259"/>
      <c r="U23" s="259"/>
      <c r="V23" s="68"/>
      <c r="W23" s="68"/>
      <c r="X23" s="68"/>
      <c r="Y23" s="68"/>
      <c r="Z23" s="68"/>
      <c r="AA23" s="68"/>
    </row>
    <row r="24" spans="1:27" ht="15" customHeight="1" x14ac:dyDescent="0.2">
      <c r="A24" s="253"/>
      <c r="B24" s="253"/>
      <c r="C24" s="253"/>
      <c r="D24" s="253"/>
      <c r="E24" s="253"/>
      <c r="F24" s="253"/>
      <c r="G24" s="253"/>
      <c r="H24" s="253"/>
      <c r="I24" s="253"/>
      <c r="J24" s="253"/>
      <c r="K24" s="253"/>
      <c r="M24" s="259"/>
      <c r="N24" s="259"/>
      <c r="O24" s="259"/>
      <c r="P24" s="259"/>
      <c r="Q24" s="259"/>
      <c r="R24" s="259"/>
      <c r="S24" s="259"/>
      <c r="T24" s="259"/>
      <c r="U24" s="259"/>
      <c r="V24" s="68"/>
      <c r="W24" s="68"/>
      <c r="X24" s="68"/>
      <c r="Y24" s="68"/>
      <c r="Z24" s="68"/>
      <c r="AA24" s="68"/>
    </row>
    <row r="25" spans="1:27" ht="15" customHeight="1" x14ac:dyDescent="0.2">
      <c r="A25" s="253"/>
      <c r="B25" s="253"/>
      <c r="C25" s="253"/>
      <c r="D25" s="253"/>
      <c r="E25" s="253"/>
      <c r="F25" s="253"/>
      <c r="G25" s="253"/>
      <c r="H25" s="253"/>
      <c r="I25" s="253"/>
      <c r="J25" s="253"/>
      <c r="K25" s="253"/>
      <c r="M25" s="259"/>
      <c r="N25" s="259"/>
      <c r="O25" s="259"/>
      <c r="P25" s="259"/>
      <c r="Q25" s="259"/>
      <c r="R25" s="259"/>
      <c r="S25" s="259"/>
      <c r="T25" s="259"/>
      <c r="U25" s="259"/>
      <c r="V25" s="68"/>
      <c r="W25" s="68"/>
      <c r="X25" s="68"/>
      <c r="Y25" s="68"/>
      <c r="Z25" s="68"/>
      <c r="AA25" s="68"/>
    </row>
    <row r="26" spans="1:27" ht="17.25" customHeight="1" x14ac:dyDescent="0.2">
      <c r="A26" s="253"/>
      <c r="B26" s="253"/>
      <c r="C26" s="253"/>
      <c r="D26" s="253"/>
      <c r="E26" s="253"/>
      <c r="F26" s="253"/>
      <c r="G26" s="253"/>
      <c r="H26" s="253"/>
      <c r="I26" s="253"/>
      <c r="J26" s="253"/>
      <c r="K26" s="253"/>
      <c r="M26" s="259"/>
      <c r="N26" s="259"/>
      <c r="O26" s="259"/>
      <c r="P26" s="259"/>
      <c r="Q26" s="259"/>
      <c r="R26" s="259"/>
      <c r="S26" s="259"/>
      <c r="T26" s="259"/>
      <c r="U26" s="259"/>
      <c r="V26" s="68"/>
      <c r="W26" s="68"/>
      <c r="X26" s="68"/>
      <c r="Y26" s="68"/>
      <c r="Z26" s="68"/>
      <c r="AA26" s="68"/>
    </row>
    <row r="27" spans="1:27" ht="6" customHeight="1" x14ac:dyDescent="0.2">
      <c r="A27" s="2"/>
      <c r="B27" s="2"/>
      <c r="C27" s="2"/>
      <c r="D27" s="2"/>
      <c r="E27" s="2"/>
      <c r="F27" s="2"/>
      <c r="G27" s="2"/>
      <c r="H27" s="2"/>
      <c r="I27" s="2"/>
      <c r="J27" s="2"/>
      <c r="K27" s="2"/>
      <c r="M27" s="3"/>
      <c r="N27" s="46"/>
      <c r="O27" s="3"/>
      <c r="P27" s="3"/>
      <c r="Q27" s="3"/>
      <c r="R27" s="3"/>
      <c r="S27" s="3"/>
      <c r="V27" s="68"/>
      <c r="W27" s="68"/>
      <c r="X27" s="68"/>
      <c r="Y27" s="68"/>
      <c r="Z27" s="68"/>
      <c r="AA27" s="68"/>
    </row>
    <row r="28" spans="1:27" ht="12.75" customHeight="1" x14ac:dyDescent="0.2">
      <c r="A28" s="217" t="s">
        <v>18</v>
      </c>
      <c r="B28" s="217"/>
      <c r="C28" s="217"/>
      <c r="D28" s="217"/>
      <c r="E28" s="217"/>
      <c r="F28" s="217"/>
      <c r="G28" s="217"/>
      <c r="M28" s="107"/>
      <c r="N28" s="107"/>
      <c r="O28" s="107"/>
      <c r="P28" s="107"/>
      <c r="Q28" s="107"/>
      <c r="R28" s="107"/>
      <c r="S28" s="107"/>
      <c r="T28" s="107"/>
      <c r="U28" s="107"/>
      <c r="V28" s="68"/>
      <c r="W28" s="68"/>
      <c r="X28" s="68"/>
      <c r="Y28" s="68"/>
      <c r="Z28" s="68"/>
      <c r="AA28" s="68"/>
    </row>
    <row r="29" spans="1:27" ht="26.25" customHeight="1" x14ac:dyDescent="0.2">
      <c r="A29" s="4"/>
      <c r="B29" s="188" t="s">
        <v>3</v>
      </c>
      <c r="C29" s="190"/>
      <c r="D29" s="188" t="s">
        <v>4</v>
      </c>
      <c r="E29" s="189"/>
      <c r="F29" s="190"/>
      <c r="G29" s="203" t="s">
        <v>21</v>
      </c>
      <c r="H29" s="203" t="s">
        <v>11</v>
      </c>
      <c r="I29" s="188" t="s">
        <v>5</v>
      </c>
      <c r="J29" s="189"/>
      <c r="K29" s="190"/>
      <c r="M29" s="259" t="s">
        <v>131</v>
      </c>
      <c r="N29" s="259"/>
      <c r="O29" s="259"/>
      <c r="P29" s="259"/>
      <c r="Q29" s="259"/>
      <c r="R29" s="259"/>
      <c r="S29" s="259"/>
      <c r="T29" s="259"/>
      <c r="U29" s="259"/>
    </row>
    <row r="30" spans="1:27" ht="14.25" customHeight="1" x14ac:dyDescent="0.2">
      <c r="A30" s="4"/>
      <c r="B30" s="41" t="s">
        <v>6</v>
      </c>
      <c r="C30" s="41" t="s">
        <v>7</v>
      </c>
      <c r="D30" s="41" t="s">
        <v>8</v>
      </c>
      <c r="E30" s="41" t="s">
        <v>9</v>
      </c>
      <c r="F30" s="41" t="s">
        <v>10</v>
      </c>
      <c r="G30" s="204"/>
      <c r="H30" s="204"/>
      <c r="I30" s="41" t="s">
        <v>12</v>
      </c>
      <c r="J30" s="41" t="s">
        <v>13</v>
      </c>
      <c r="K30" s="41" t="s">
        <v>14</v>
      </c>
      <c r="M30" s="259"/>
      <c r="N30" s="259"/>
      <c r="O30" s="259"/>
      <c r="P30" s="259"/>
      <c r="Q30" s="259"/>
      <c r="R30" s="259"/>
      <c r="S30" s="259"/>
      <c r="T30" s="259"/>
      <c r="U30" s="259"/>
    </row>
    <row r="31" spans="1:27" ht="17.25" customHeight="1" x14ac:dyDescent="0.2">
      <c r="A31" s="42" t="s">
        <v>15</v>
      </c>
      <c r="B31" s="94">
        <v>14</v>
      </c>
      <c r="C31" s="94">
        <v>14</v>
      </c>
      <c r="D31" s="19">
        <v>3</v>
      </c>
      <c r="E31" s="19">
        <v>3</v>
      </c>
      <c r="F31" s="19">
        <v>2</v>
      </c>
      <c r="G31" s="19">
        <v>0</v>
      </c>
      <c r="H31" s="97">
        <v>2</v>
      </c>
      <c r="I31" s="19">
        <v>3</v>
      </c>
      <c r="J31" s="19">
        <v>1</v>
      </c>
      <c r="K31" s="19">
        <v>10</v>
      </c>
      <c r="L31" s="25"/>
      <c r="M31" s="259"/>
      <c r="N31" s="259"/>
      <c r="O31" s="259"/>
      <c r="P31" s="259"/>
      <c r="Q31" s="259"/>
      <c r="R31" s="259"/>
      <c r="S31" s="259"/>
      <c r="T31" s="259"/>
      <c r="U31" s="259"/>
      <c r="V31" s="149" t="str">
        <f t="shared" ref="V31" si="0">IF(SUM(B31:K31)=52,"Corect","Suma trebuie să fie 52")</f>
        <v>Corect</v>
      </c>
      <c r="W31" s="149"/>
    </row>
    <row r="32" spans="1:27" ht="15" customHeight="1" x14ac:dyDescent="0.2">
      <c r="A32" s="42" t="s">
        <v>16</v>
      </c>
      <c r="B32" s="94">
        <v>14</v>
      </c>
      <c r="C32" s="94">
        <v>14</v>
      </c>
      <c r="D32" s="19">
        <v>3</v>
      </c>
      <c r="E32" s="19">
        <v>3</v>
      </c>
      <c r="F32" s="19">
        <v>2</v>
      </c>
      <c r="G32" s="19">
        <v>0</v>
      </c>
      <c r="H32" s="97">
        <v>2</v>
      </c>
      <c r="I32" s="19">
        <v>3</v>
      </c>
      <c r="J32" s="19">
        <v>1</v>
      </c>
      <c r="K32" s="19">
        <v>10</v>
      </c>
      <c r="M32" s="259"/>
      <c r="N32" s="259"/>
      <c r="O32" s="259"/>
      <c r="P32" s="259"/>
      <c r="Q32" s="259"/>
      <c r="R32" s="259"/>
      <c r="S32" s="259"/>
      <c r="T32" s="259"/>
      <c r="U32" s="259"/>
      <c r="V32" s="149" t="str">
        <f t="shared" ref="V32:V33" si="1">IF(SUM(B32:K32)=52,"Corect","Suma trebuie să fie 52")</f>
        <v>Corect</v>
      </c>
      <c r="W32" s="149"/>
    </row>
    <row r="33" spans="1:24" ht="15.75" customHeight="1" x14ac:dyDescent="0.2">
      <c r="A33" s="43" t="s">
        <v>17</v>
      </c>
      <c r="B33" s="94">
        <v>14</v>
      </c>
      <c r="C33" s="94">
        <v>12</v>
      </c>
      <c r="D33" s="19">
        <v>3</v>
      </c>
      <c r="E33" s="19">
        <v>3</v>
      </c>
      <c r="F33" s="19">
        <v>2</v>
      </c>
      <c r="G33" s="19">
        <v>2</v>
      </c>
      <c r="H33" s="97">
        <v>2</v>
      </c>
      <c r="I33" s="19">
        <v>3</v>
      </c>
      <c r="J33" s="19">
        <v>1</v>
      </c>
      <c r="K33" s="19">
        <v>10</v>
      </c>
      <c r="M33" s="259"/>
      <c r="N33" s="259"/>
      <c r="O33" s="259"/>
      <c r="P33" s="259"/>
      <c r="Q33" s="259"/>
      <c r="R33" s="259"/>
      <c r="S33" s="259"/>
      <c r="T33" s="259"/>
      <c r="U33" s="259"/>
      <c r="V33" s="149" t="str">
        <f t="shared" si="1"/>
        <v>Corect</v>
      </c>
      <c r="W33" s="149"/>
    </row>
    <row r="34" spans="1:24" x14ac:dyDescent="0.2">
      <c r="A34" s="6"/>
      <c r="B34" s="6"/>
      <c r="C34" s="6"/>
      <c r="D34" s="6"/>
      <c r="E34" s="6"/>
      <c r="F34" s="6"/>
      <c r="G34" s="6"/>
      <c r="M34" s="107"/>
      <c r="N34" s="107"/>
      <c r="O34" s="107"/>
      <c r="P34" s="107"/>
      <c r="Q34" s="107"/>
      <c r="R34" s="107"/>
      <c r="S34" s="107"/>
      <c r="T34" s="107"/>
      <c r="U34" s="107"/>
    </row>
    <row r="35" spans="1:24" ht="16.5" customHeight="1" x14ac:dyDescent="0.2">
      <c r="A35" s="243" t="s">
        <v>24</v>
      </c>
      <c r="B35" s="244"/>
      <c r="C35" s="244"/>
      <c r="D35" s="244"/>
      <c r="E35" s="244"/>
      <c r="F35" s="244"/>
      <c r="G35" s="244"/>
      <c r="H35" s="244"/>
      <c r="I35" s="244"/>
      <c r="J35" s="244"/>
      <c r="K35" s="244"/>
      <c r="L35" s="244"/>
      <c r="M35" s="244"/>
      <c r="N35" s="244"/>
      <c r="O35" s="244"/>
      <c r="P35" s="244"/>
      <c r="Q35" s="244"/>
      <c r="R35" s="244"/>
      <c r="S35" s="244"/>
      <c r="T35" s="244"/>
      <c r="U35" s="244"/>
    </row>
    <row r="36" spans="1:24" ht="6.75" hidden="1" customHeight="1" x14ac:dyDescent="0.2">
      <c r="O36" s="8"/>
      <c r="P36" s="9" t="s">
        <v>40</v>
      </c>
      <c r="Q36" s="9" t="s">
        <v>113</v>
      </c>
      <c r="R36" s="9" t="s">
        <v>41</v>
      </c>
      <c r="S36" s="9" t="s">
        <v>42</v>
      </c>
      <c r="T36" s="9"/>
      <c r="U36" s="9"/>
    </row>
    <row r="37" spans="1:24" ht="17.25" customHeight="1" x14ac:dyDescent="0.2">
      <c r="A37" s="236" t="s">
        <v>45</v>
      </c>
      <c r="B37" s="236"/>
      <c r="C37" s="236"/>
      <c r="D37" s="236"/>
      <c r="E37" s="236"/>
      <c r="F37" s="236"/>
      <c r="G37" s="236"/>
      <c r="H37" s="236"/>
      <c r="I37" s="236"/>
      <c r="J37" s="236"/>
      <c r="K37" s="236"/>
      <c r="L37" s="236"/>
      <c r="M37" s="236"/>
      <c r="N37" s="236"/>
      <c r="O37" s="236"/>
      <c r="P37" s="236"/>
      <c r="Q37" s="236"/>
      <c r="R37" s="236"/>
      <c r="S37" s="236"/>
      <c r="T37" s="236"/>
      <c r="U37" s="236"/>
    </row>
    <row r="38" spans="1:24" ht="25.5" customHeight="1" x14ac:dyDescent="0.2">
      <c r="A38" s="195" t="s">
        <v>30</v>
      </c>
      <c r="B38" s="197" t="s">
        <v>29</v>
      </c>
      <c r="C38" s="198"/>
      <c r="D38" s="198"/>
      <c r="E38" s="198"/>
      <c r="F38" s="198"/>
      <c r="G38" s="198"/>
      <c r="H38" s="198"/>
      <c r="I38" s="199"/>
      <c r="J38" s="203" t="s">
        <v>43</v>
      </c>
      <c r="K38" s="188" t="s">
        <v>27</v>
      </c>
      <c r="L38" s="189"/>
      <c r="M38" s="189"/>
      <c r="N38" s="190"/>
      <c r="O38" s="254" t="s">
        <v>44</v>
      </c>
      <c r="P38" s="255"/>
      <c r="Q38" s="256"/>
      <c r="R38" s="254" t="s">
        <v>26</v>
      </c>
      <c r="S38" s="257"/>
      <c r="T38" s="258"/>
      <c r="U38" s="249" t="s">
        <v>25</v>
      </c>
      <c r="V38" s="58"/>
    </row>
    <row r="39" spans="1:24" ht="13.5" customHeight="1" x14ac:dyDescent="0.2">
      <c r="A39" s="196"/>
      <c r="B39" s="200"/>
      <c r="C39" s="201"/>
      <c r="D39" s="201"/>
      <c r="E39" s="201"/>
      <c r="F39" s="201"/>
      <c r="G39" s="201"/>
      <c r="H39" s="201"/>
      <c r="I39" s="202"/>
      <c r="J39" s="204"/>
      <c r="K39" s="5" t="s">
        <v>31</v>
      </c>
      <c r="L39" s="5" t="s">
        <v>32</v>
      </c>
      <c r="M39" s="5" t="s">
        <v>33</v>
      </c>
      <c r="N39" s="49" t="s">
        <v>108</v>
      </c>
      <c r="O39" s="64" t="s">
        <v>37</v>
      </c>
      <c r="P39" s="64" t="s">
        <v>8</v>
      </c>
      <c r="Q39" s="64" t="s">
        <v>34</v>
      </c>
      <c r="R39" s="64" t="s">
        <v>35</v>
      </c>
      <c r="S39" s="64" t="s">
        <v>31</v>
      </c>
      <c r="T39" s="64" t="s">
        <v>36</v>
      </c>
      <c r="U39" s="204"/>
      <c r="V39" s="58"/>
    </row>
    <row r="40" spans="1:24" x14ac:dyDescent="0.2">
      <c r="A40" s="38" t="s">
        <v>133</v>
      </c>
      <c r="B40" s="229" t="s">
        <v>134</v>
      </c>
      <c r="C40" s="230"/>
      <c r="D40" s="230"/>
      <c r="E40" s="230"/>
      <c r="F40" s="230"/>
      <c r="G40" s="230"/>
      <c r="H40" s="230"/>
      <c r="I40" s="231"/>
      <c r="J40" s="10">
        <v>5</v>
      </c>
      <c r="K40" s="10">
        <v>2</v>
      </c>
      <c r="L40" s="10">
        <v>1</v>
      </c>
      <c r="M40" s="10">
        <v>1</v>
      </c>
      <c r="N40" s="50">
        <v>0</v>
      </c>
      <c r="O40" s="51">
        <f>K40+L40+M40+N40</f>
        <v>4</v>
      </c>
      <c r="P40" s="51">
        <f>Q40-O40</f>
        <v>5</v>
      </c>
      <c r="Q40" s="51">
        <f>ROUND(PRODUCT(J40,25)/14,0)</f>
        <v>9</v>
      </c>
      <c r="R40" s="18" t="s">
        <v>35</v>
      </c>
      <c r="S40" s="10"/>
      <c r="T40" s="19"/>
      <c r="U40" s="10" t="s">
        <v>40</v>
      </c>
    </row>
    <row r="41" spans="1:24" x14ac:dyDescent="0.2">
      <c r="A41" s="38" t="s">
        <v>135</v>
      </c>
      <c r="B41" s="229" t="s">
        <v>136</v>
      </c>
      <c r="C41" s="230"/>
      <c r="D41" s="230"/>
      <c r="E41" s="230"/>
      <c r="F41" s="230"/>
      <c r="G41" s="230"/>
      <c r="H41" s="230"/>
      <c r="I41" s="231"/>
      <c r="J41" s="10">
        <v>5</v>
      </c>
      <c r="K41" s="10">
        <v>2</v>
      </c>
      <c r="L41" s="10">
        <v>2</v>
      </c>
      <c r="M41" s="10">
        <v>0</v>
      </c>
      <c r="N41" s="50">
        <v>0</v>
      </c>
      <c r="O41" s="51">
        <f t="shared" ref="O41:O47" si="2">K41+L41+M41+N41</f>
        <v>4</v>
      </c>
      <c r="P41" s="51">
        <f t="shared" ref="P41:P45" si="3">Q41-O41</f>
        <v>5</v>
      </c>
      <c r="Q41" s="51">
        <f t="shared" ref="Q41:Q45" si="4">ROUND(PRODUCT(J41,25)/14,0)</f>
        <v>9</v>
      </c>
      <c r="R41" s="18" t="s">
        <v>35</v>
      </c>
      <c r="S41" s="10"/>
      <c r="T41" s="19"/>
      <c r="U41" s="10" t="s">
        <v>40</v>
      </c>
    </row>
    <row r="42" spans="1:24" x14ac:dyDescent="0.2">
      <c r="A42" s="38" t="s">
        <v>137</v>
      </c>
      <c r="B42" s="229" t="s">
        <v>138</v>
      </c>
      <c r="C42" s="230"/>
      <c r="D42" s="230"/>
      <c r="E42" s="230"/>
      <c r="F42" s="230"/>
      <c r="G42" s="230"/>
      <c r="H42" s="230"/>
      <c r="I42" s="231"/>
      <c r="J42" s="10">
        <v>3</v>
      </c>
      <c r="K42" s="10">
        <v>1</v>
      </c>
      <c r="L42" s="10">
        <v>0</v>
      </c>
      <c r="M42" s="10">
        <v>2</v>
      </c>
      <c r="N42" s="50">
        <v>0</v>
      </c>
      <c r="O42" s="51">
        <f t="shared" si="2"/>
        <v>3</v>
      </c>
      <c r="P42" s="51">
        <f t="shared" si="3"/>
        <v>2</v>
      </c>
      <c r="Q42" s="51">
        <f t="shared" si="4"/>
        <v>5</v>
      </c>
      <c r="R42" s="18" t="s">
        <v>35</v>
      </c>
      <c r="S42" s="10"/>
      <c r="T42" s="19"/>
      <c r="U42" s="10" t="s">
        <v>113</v>
      </c>
    </row>
    <row r="43" spans="1:24" x14ac:dyDescent="0.2">
      <c r="A43" s="38" t="s">
        <v>139</v>
      </c>
      <c r="B43" s="229" t="s">
        <v>140</v>
      </c>
      <c r="C43" s="230"/>
      <c r="D43" s="230"/>
      <c r="E43" s="230"/>
      <c r="F43" s="230"/>
      <c r="G43" s="230"/>
      <c r="H43" s="230"/>
      <c r="I43" s="231"/>
      <c r="J43" s="10">
        <v>5</v>
      </c>
      <c r="K43" s="10">
        <v>2</v>
      </c>
      <c r="L43" s="10">
        <v>1</v>
      </c>
      <c r="M43" s="10">
        <v>1</v>
      </c>
      <c r="N43" s="50">
        <v>0</v>
      </c>
      <c r="O43" s="51">
        <f t="shared" si="2"/>
        <v>4</v>
      </c>
      <c r="P43" s="51">
        <f t="shared" si="3"/>
        <v>5</v>
      </c>
      <c r="Q43" s="51">
        <f t="shared" si="4"/>
        <v>9</v>
      </c>
      <c r="R43" s="18" t="s">
        <v>35</v>
      </c>
      <c r="S43" s="10"/>
      <c r="T43" s="19"/>
      <c r="U43" s="10" t="s">
        <v>40</v>
      </c>
    </row>
    <row r="44" spans="1:24" x14ac:dyDescent="0.2">
      <c r="A44" s="38" t="s">
        <v>141</v>
      </c>
      <c r="B44" s="229" t="s">
        <v>142</v>
      </c>
      <c r="C44" s="230"/>
      <c r="D44" s="230"/>
      <c r="E44" s="230"/>
      <c r="F44" s="230"/>
      <c r="G44" s="230"/>
      <c r="H44" s="230"/>
      <c r="I44" s="231"/>
      <c r="J44" s="10">
        <v>4</v>
      </c>
      <c r="K44" s="10">
        <v>2</v>
      </c>
      <c r="L44" s="10">
        <v>0</v>
      </c>
      <c r="M44" s="10">
        <v>2</v>
      </c>
      <c r="N44" s="50">
        <v>0</v>
      </c>
      <c r="O44" s="51">
        <f t="shared" si="2"/>
        <v>4</v>
      </c>
      <c r="P44" s="51">
        <f t="shared" si="3"/>
        <v>3</v>
      </c>
      <c r="Q44" s="51">
        <f t="shared" si="4"/>
        <v>7</v>
      </c>
      <c r="R44" s="18"/>
      <c r="S44" s="10"/>
      <c r="T44" s="19" t="s">
        <v>36</v>
      </c>
      <c r="U44" s="10" t="s">
        <v>42</v>
      </c>
    </row>
    <row r="45" spans="1:24" x14ac:dyDescent="0.2">
      <c r="A45" s="38" t="s">
        <v>143</v>
      </c>
      <c r="B45" s="229" t="s">
        <v>144</v>
      </c>
      <c r="C45" s="230"/>
      <c r="D45" s="230"/>
      <c r="E45" s="230"/>
      <c r="F45" s="230"/>
      <c r="G45" s="230"/>
      <c r="H45" s="230"/>
      <c r="I45" s="231"/>
      <c r="J45" s="10">
        <v>5</v>
      </c>
      <c r="K45" s="10">
        <v>2</v>
      </c>
      <c r="L45" s="10">
        <v>0</v>
      </c>
      <c r="M45" s="10">
        <v>2</v>
      </c>
      <c r="N45" s="50">
        <v>0</v>
      </c>
      <c r="O45" s="51">
        <f t="shared" si="2"/>
        <v>4</v>
      </c>
      <c r="P45" s="51">
        <f t="shared" si="3"/>
        <v>5</v>
      </c>
      <c r="Q45" s="51">
        <f t="shared" si="4"/>
        <v>9</v>
      </c>
      <c r="R45" s="18"/>
      <c r="S45" s="10"/>
      <c r="T45" s="19" t="s">
        <v>36</v>
      </c>
      <c r="U45" s="10" t="s">
        <v>41</v>
      </c>
    </row>
    <row r="46" spans="1:24" x14ac:dyDescent="0.2">
      <c r="A46" s="38" t="s">
        <v>145</v>
      </c>
      <c r="B46" s="229" t="s">
        <v>146</v>
      </c>
      <c r="C46" s="230"/>
      <c r="D46" s="230"/>
      <c r="E46" s="230"/>
      <c r="F46" s="230"/>
      <c r="G46" s="230"/>
      <c r="H46" s="230"/>
      <c r="I46" s="231"/>
      <c r="J46" s="10">
        <v>3</v>
      </c>
      <c r="K46" s="10">
        <v>0</v>
      </c>
      <c r="L46" s="10">
        <v>0</v>
      </c>
      <c r="M46" s="10">
        <v>0</v>
      </c>
      <c r="N46" s="50">
        <v>0</v>
      </c>
      <c r="O46" s="51">
        <f t="shared" si="2"/>
        <v>0</v>
      </c>
      <c r="P46" s="51">
        <f>Q46-O46</f>
        <v>5</v>
      </c>
      <c r="Q46" s="51">
        <f>ROUND(PRODUCT(J46,25)/14,0)</f>
        <v>5</v>
      </c>
      <c r="R46" s="18"/>
      <c r="S46" s="10" t="s">
        <v>31</v>
      </c>
      <c r="T46" s="19"/>
      <c r="U46" s="10" t="s">
        <v>41</v>
      </c>
    </row>
    <row r="47" spans="1:24" ht="12.75" customHeight="1" x14ac:dyDescent="0.2">
      <c r="A47" s="15" t="s">
        <v>100</v>
      </c>
      <c r="B47" s="238" t="s">
        <v>78</v>
      </c>
      <c r="C47" s="239"/>
      <c r="D47" s="239"/>
      <c r="E47" s="239"/>
      <c r="F47" s="239"/>
      <c r="G47" s="239"/>
      <c r="H47" s="239"/>
      <c r="I47" s="240"/>
      <c r="J47" s="15">
        <v>2</v>
      </c>
      <c r="K47" s="15">
        <v>0</v>
      </c>
      <c r="L47" s="15">
        <v>2</v>
      </c>
      <c r="M47" s="15">
        <v>0</v>
      </c>
      <c r="N47" s="52">
        <v>0</v>
      </c>
      <c r="O47" s="51">
        <f t="shared" si="2"/>
        <v>2</v>
      </c>
      <c r="P47" s="51">
        <f t="shared" ref="P47" si="5">Q47-O47</f>
        <v>2</v>
      </c>
      <c r="Q47" s="51">
        <f t="shared" ref="Q47" si="6">ROUND(PRODUCT(J47,25)/14,0)</f>
        <v>4</v>
      </c>
      <c r="R47" s="55"/>
      <c r="S47" s="15"/>
      <c r="T47" s="56" t="s">
        <v>36</v>
      </c>
      <c r="U47" s="15" t="s">
        <v>42</v>
      </c>
    </row>
    <row r="48" spans="1:24" x14ac:dyDescent="0.2">
      <c r="A48" s="62" t="s">
        <v>28</v>
      </c>
      <c r="B48" s="132"/>
      <c r="C48" s="133"/>
      <c r="D48" s="133"/>
      <c r="E48" s="133"/>
      <c r="F48" s="133"/>
      <c r="G48" s="133"/>
      <c r="H48" s="133"/>
      <c r="I48" s="134"/>
      <c r="J48" s="16">
        <f t="shared" ref="J48:Q48" si="7">SUM(J40:J47)</f>
        <v>32</v>
      </c>
      <c r="K48" s="16">
        <f t="shared" si="7"/>
        <v>11</v>
      </c>
      <c r="L48" s="16">
        <f t="shared" si="7"/>
        <v>6</v>
      </c>
      <c r="M48" s="16">
        <f t="shared" si="7"/>
        <v>8</v>
      </c>
      <c r="N48" s="53">
        <f t="shared" si="7"/>
        <v>0</v>
      </c>
      <c r="O48" s="53">
        <f t="shared" si="7"/>
        <v>25</v>
      </c>
      <c r="P48" s="53">
        <f t="shared" si="7"/>
        <v>32</v>
      </c>
      <c r="Q48" s="53">
        <f t="shared" si="7"/>
        <v>57</v>
      </c>
      <c r="R48" s="26">
        <f>COUNTIF(R40:R47,"E")</f>
        <v>4</v>
      </c>
      <c r="S48" s="26">
        <f>COUNTIF(S40:S47,"C")</f>
        <v>1</v>
      </c>
      <c r="T48" s="26">
        <f>COUNTIF(T40:T47,"VP")</f>
        <v>3</v>
      </c>
      <c r="U48" s="63">
        <f>COUNTA(U40:U47)</f>
        <v>8</v>
      </c>
      <c r="V48" s="278" t="str">
        <f>IF(R48&gt;=SUM(S48:T48),"Corect","E trebuie să fie cel puțin egal cu C+VP")</f>
        <v>Corect</v>
      </c>
      <c r="W48" s="278"/>
      <c r="X48" s="278"/>
    </row>
    <row r="49" spans="1:24" s="99" customFormat="1" x14ac:dyDescent="0.2">
      <c r="A49" s="69"/>
      <c r="B49" s="69"/>
      <c r="C49" s="69"/>
      <c r="D49" s="69"/>
      <c r="E49" s="69"/>
      <c r="F49" s="69"/>
      <c r="G49" s="69"/>
      <c r="H49" s="69"/>
      <c r="I49" s="69"/>
      <c r="J49" s="69"/>
      <c r="K49" s="69"/>
      <c r="L49" s="69"/>
      <c r="M49" s="69"/>
      <c r="N49" s="70"/>
      <c r="O49" s="70"/>
      <c r="P49" s="70"/>
      <c r="Q49" s="70"/>
      <c r="R49" s="69"/>
      <c r="S49" s="69"/>
      <c r="T49" s="69"/>
      <c r="U49" s="71"/>
      <c r="V49" s="100"/>
      <c r="W49" s="100"/>
      <c r="X49" s="100"/>
    </row>
    <row r="50" spans="1:24" s="99" customFormat="1" x14ac:dyDescent="0.2">
      <c r="A50" s="69"/>
      <c r="B50" s="69"/>
      <c r="C50" s="69"/>
      <c r="D50" s="69"/>
      <c r="E50" s="69"/>
      <c r="F50" s="69"/>
      <c r="G50" s="69"/>
      <c r="H50" s="69"/>
      <c r="I50" s="69"/>
      <c r="J50" s="69"/>
      <c r="K50" s="69"/>
      <c r="L50" s="69"/>
      <c r="M50" s="69"/>
      <c r="N50" s="70"/>
      <c r="O50" s="70"/>
      <c r="P50" s="70"/>
      <c r="Q50" s="70"/>
      <c r="R50" s="69"/>
      <c r="S50" s="69"/>
      <c r="T50" s="69"/>
      <c r="U50" s="71"/>
      <c r="V50" s="100"/>
      <c r="W50" s="100"/>
      <c r="X50" s="100"/>
    </row>
    <row r="51" spans="1:24" s="58" customFormat="1" x14ac:dyDescent="0.2">
      <c r="A51" s="92"/>
      <c r="B51" s="69"/>
      <c r="C51" s="69"/>
      <c r="D51" s="69"/>
      <c r="E51" s="69"/>
      <c r="F51" s="69"/>
      <c r="G51" s="69"/>
      <c r="H51" s="69"/>
      <c r="I51" s="69"/>
      <c r="J51" s="69"/>
      <c r="K51" s="69"/>
      <c r="L51" s="69"/>
      <c r="M51" s="69"/>
      <c r="N51" s="70"/>
      <c r="O51" s="70"/>
      <c r="P51" s="70"/>
      <c r="Q51" s="70"/>
      <c r="R51" s="69"/>
      <c r="S51" s="69"/>
      <c r="T51" s="69"/>
      <c r="U51" s="71"/>
      <c r="V51" s="72"/>
      <c r="W51" s="72"/>
      <c r="X51" s="72"/>
    </row>
    <row r="53" spans="1:24" ht="16.5" customHeight="1" x14ac:dyDescent="0.2">
      <c r="A53" s="236" t="s">
        <v>46</v>
      </c>
      <c r="B53" s="236"/>
      <c r="C53" s="236"/>
      <c r="D53" s="236"/>
      <c r="E53" s="236"/>
      <c r="F53" s="236"/>
      <c r="G53" s="236"/>
      <c r="H53" s="236"/>
      <c r="I53" s="236"/>
      <c r="J53" s="236"/>
      <c r="K53" s="236"/>
      <c r="L53" s="236"/>
      <c r="M53" s="236"/>
      <c r="N53" s="236"/>
      <c r="O53" s="236"/>
      <c r="P53" s="236"/>
      <c r="Q53" s="236"/>
      <c r="R53" s="236"/>
      <c r="S53" s="236"/>
      <c r="T53" s="236"/>
      <c r="U53" s="236"/>
    </row>
    <row r="54" spans="1:24" ht="26.25" customHeight="1" x14ac:dyDescent="0.2">
      <c r="A54" s="195" t="s">
        <v>30</v>
      </c>
      <c r="B54" s="197" t="s">
        <v>29</v>
      </c>
      <c r="C54" s="198"/>
      <c r="D54" s="198"/>
      <c r="E54" s="198"/>
      <c r="F54" s="198"/>
      <c r="G54" s="198"/>
      <c r="H54" s="198"/>
      <c r="I54" s="199"/>
      <c r="J54" s="203" t="s">
        <v>43</v>
      </c>
      <c r="K54" s="188" t="s">
        <v>27</v>
      </c>
      <c r="L54" s="189"/>
      <c r="M54" s="189"/>
      <c r="N54" s="190"/>
      <c r="O54" s="254" t="s">
        <v>44</v>
      </c>
      <c r="P54" s="255"/>
      <c r="Q54" s="256"/>
      <c r="R54" s="254" t="s">
        <v>26</v>
      </c>
      <c r="S54" s="257"/>
      <c r="T54" s="258"/>
      <c r="U54" s="249" t="s">
        <v>25</v>
      </c>
      <c r="V54" s="58"/>
    </row>
    <row r="55" spans="1:24" ht="12.75" customHeight="1" x14ac:dyDescent="0.2">
      <c r="A55" s="196"/>
      <c r="B55" s="200"/>
      <c r="C55" s="201"/>
      <c r="D55" s="201"/>
      <c r="E55" s="201"/>
      <c r="F55" s="201"/>
      <c r="G55" s="201"/>
      <c r="H55" s="201"/>
      <c r="I55" s="202"/>
      <c r="J55" s="204"/>
      <c r="K55" s="5" t="s">
        <v>31</v>
      </c>
      <c r="L55" s="5" t="s">
        <v>32</v>
      </c>
      <c r="M55" s="5" t="s">
        <v>33</v>
      </c>
      <c r="N55" s="49" t="s">
        <v>108</v>
      </c>
      <c r="O55" s="64" t="s">
        <v>37</v>
      </c>
      <c r="P55" s="64" t="s">
        <v>8</v>
      </c>
      <c r="Q55" s="64" t="s">
        <v>34</v>
      </c>
      <c r="R55" s="64" t="s">
        <v>35</v>
      </c>
      <c r="S55" s="64" t="s">
        <v>31</v>
      </c>
      <c r="T55" s="64" t="s">
        <v>36</v>
      </c>
      <c r="U55" s="204"/>
      <c r="V55" s="58"/>
    </row>
    <row r="56" spans="1:24" x14ac:dyDescent="0.2">
      <c r="A56" s="38" t="s">
        <v>147</v>
      </c>
      <c r="B56" s="229" t="s">
        <v>148</v>
      </c>
      <c r="C56" s="230"/>
      <c r="D56" s="230"/>
      <c r="E56" s="230"/>
      <c r="F56" s="230"/>
      <c r="G56" s="230"/>
      <c r="H56" s="230"/>
      <c r="I56" s="231"/>
      <c r="J56" s="10">
        <v>4</v>
      </c>
      <c r="K56" s="10">
        <v>1</v>
      </c>
      <c r="L56" s="10">
        <v>0</v>
      </c>
      <c r="M56" s="10">
        <v>2</v>
      </c>
      <c r="N56" s="50">
        <v>0</v>
      </c>
      <c r="O56" s="51">
        <f>K56+L56+M56+N56</f>
        <v>3</v>
      </c>
      <c r="P56" s="51">
        <f>Q56-O56</f>
        <v>4</v>
      </c>
      <c r="Q56" s="51">
        <f>ROUND(PRODUCT(J56,25)/14,0)</f>
        <v>7</v>
      </c>
      <c r="R56" s="18" t="s">
        <v>35</v>
      </c>
      <c r="S56" s="10"/>
      <c r="T56" s="19"/>
      <c r="U56" s="10" t="s">
        <v>41</v>
      </c>
    </row>
    <row r="57" spans="1:24" x14ac:dyDescent="0.2">
      <c r="A57" s="38" t="s">
        <v>149</v>
      </c>
      <c r="B57" s="229" t="s">
        <v>150</v>
      </c>
      <c r="C57" s="230"/>
      <c r="D57" s="230"/>
      <c r="E57" s="230"/>
      <c r="F57" s="230"/>
      <c r="G57" s="230"/>
      <c r="H57" s="230"/>
      <c r="I57" s="231"/>
      <c r="J57" s="10">
        <v>5</v>
      </c>
      <c r="K57" s="10">
        <v>1</v>
      </c>
      <c r="L57" s="10">
        <v>0</v>
      </c>
      <c r="M57" s="10">
        <v>2</v>
      </c>
      <c r="N57" s="50">
        <v>0</v>
      </c>
      <c r="O57" s="51">
        <f t="shared" ref="O57:O62" si="8">K57+L57+M57+N57</f>
        <v>3</v>
      </c>
      <c r="P57" s="51">
        <f t="shared" ref="P57:P62" si="9">Q57-O57</f>
        <v>6</v>
      </c>
      <c r="Q57" s="51">
        <f t="shared" ref="Q57:Q62" si="10">ROUND(PRODUCT(J57,25)/14,0)</f>
        <v>9</v>
      </c>
      <c r="R57" s="18" t="s">
        <v>35</v>
      </c>
      <c r="S57" s="10"/>
      <c r="T57" s="19"/>
      <c r="U57" s="10" t="s">
        <v>113</v>
      </c>
    </row>
    <row r="58" spans="1:24" x14ac:dyDescent="0.2">
      <c r="A58" s="38" t="s">
        <v>151</v>
      </c>
      <c r="B58" s="229" t="s">
        <v>152</v>
      </c>
      <c r="C58" s="230"/>
      <c r="D58" s="230"/>
      <c r="E58" s="230"/>
      <c r="F58" s="230"/>
      <c r="G58" s="230"/>
      <c r="H58" s="230"/>
      <c r="I58" s="231"/>
      <c r="J58" s="10">
        <v>5</v>
      </c>
      <c r="K58" s="10">
        <v>1</v>
      </c>
      <c r="L58" s="10">
        <v>0</v>
      </c>
      <c r="M58" s="10">
        <v>2</v>
      </c>
      <c r="N58" s="50">
        <v>0</v>
      </c>
      <c r="O58" s="51">
        <f t="shared" si="8"/>
        <v>3</v>
      </c>
      <c r="P58" s="51">
        <f t="shared" si="9"/>
        <v>6</v>
      </c>
      <c r="Q58" s="51">
        <f t="shared" si="10"/>
        <v>9</v>
      </c>
      <c r="R58" s="18" t="s">
        <v>35</v>
      </c>
      <c r="S58" s="10"/>
      <c r="T58" s="19"/>
      <c r="U58" s="10" t="s">
        <v>113</v>
      </c>
    </row>
    <row r="59" spans="1:24" x14ac:dyDescent="0.2">
      <c r="A59" s="38" t="s">
        <v>153</v>
      </c>
      <c r="B59" s="229" t="s">
        <v>154</v>
      </c>
      <c r="C59" s="230"/>
      <c r="D59" s="230"/>
      <c r="E59" s="230"/>
      <c r="F59" s="230"/>
      <c r="G59" s="230"/>
      <c r="H59" s="230"/>
      <c r="I59" s="231"/>
      <c r="J59" s="10">
        <v>6</v>
      </c>
      <c r="K59" s="10">
        <v>2</v>
      </c>
      <c r="L59" s="10">
        <v>0</v>
      </c>
      <c r="M59" s="10">
        <v>3</v>
      </c>
      <c r="N59" s="50">
        <v>0.5</v>
      </c>
      <c r="O59" s="51">
        <f t="shared" si="8"/>
        <v>5.5</v>
      </c>
      <c r="P59" s="51">
        <f t="shared" si="9"/>
        <v>5.5</v>
      </c>
      <c r="Q59" s="51">
        <f t="shared" si="10"/>
        <v>11</v>
      </c>
      <c r="R59" s="18" t="s">
        <v>35</v>
      </c>
      <c r="S59" s="10"/>
      <c r="T59" s="19"/>
      <c r="U59" s="10" t="s">
        <v>113</v>
      </c>
    </row>
    <row r="60" spans="1:24" x14ac:dyDescent="0.2">
      <c r="A60" s="38" t="s">
        <v>155</v>
      </c>
      <c r="B60" s="229" t="s">
        <v>156</v>
      </c>
      <c r="C60" s="230"/>
      <c r="D60" s="230"/>
      <c r="E60" s="230"/>
      <c r="F60" s="230"/>
      <c r="G60" s="230"/>
      <c r="H60" s="230"/>
      <c r="I60" s="231"/>
      <c r="J60" s="10">
        <v>4</v>
      </c>
      <c r="K60" s="10">
        <v>1</v>
      </c>
      <c r="L60" s="10">
        <v>0</v>
      </c>
      <c r="M60" s="10">
        <v>2</v>
      </c>
      <c r="N60" s="50">
        <v>0</v>
      </c>
      <c r="O60" s="51">
        <f t="shared" si="8"/>
        <v>3</v>
      </c>
      <c r="P60" s="51">
        <f>Q60-O60</f>
        <v>4</v>
      </c>
      <c r="Q60" s="51">
        <f>ROUND(PRODUCT(J60,25)/14,0)</f>
        <v>7</v>
      </c>
      <c r="R60" s="18" t="s">
        <v>35</v>
      </c>
      <c r="S60" s="10"/>
      <c r="T60" s="19"/>
      <c r="U60" s="10" t="s">
        <v>113</v>
      </c>
    </row>
    <row r="61" spans="1:24" x14ac:dyDescent="0.2">
      <c r="A61" s="38" t="s">
        <v>157</v>
      </c>
      <c r="B61" s="229" t="s">
        <v>158</v>
      </c>
      <c r="C61" s="230"/>
      <c r="D61" s="230"/>
      <c r="E61" s="230"/>
      <c r="F61" s="230"/>
      <c r="G61" s="230"/>
      <c r="H61" s="230"/>
      <c r="I61" s="231"/>
      <c r="J61" s="10">
        <v>6</v>
      </c>
      <c r="K61" s="10">
        <v>2</v>
      </c>
      <c r="L61" s="10">
        <v>2</v>
      </c>
      <c r="M61" s="10">
        <v>0</v>
      </c>
      <c r="N61" s="50">
        <v>0</v>
      </c>
      <c r="O61" s="51">
        <f t="shared" si="8"/>
        <v>4</v>
      </c>
      <c r="P61" s="51">
        <f>Q61-O61</f>
        <v>7</v>
      </c>
      <c r="Q61" s="51">
        <f>ROUND(PRODUCT(J61,25)/14,0)</f>
        <v>11</v>
      </c>
      <c r="R61" s="18" t="s">
        <v>35</v>
      </c>
      <c r="S61" s="10"/>
      <c r="T61" s="19"/>
      <c r="U61" s="10" t="s">
        <v>40</v>
      </c>
    </row>
    <row r="62" spans="1:24" x14ac:dyDescent="0.2">
      <c r="A62" s="15" t="s">
        <v>101</v>
      </c>
      <c r="B62" s="238" t="s">
        <v>79</v>
      </c>
      <c r="C62" s="239"/>
      <c r="D62" s="239"/>
      <c r="E62" s="239"/>
      <c r="F62" s="239"/>
      <c r="G62" s="239"/>
      <c r="H62" s="239"/>
      <c r="I62" s="240"/>
      <c r="J62" s="15">
        <v>2</v>
      </c>
      <c r="K62" s="15">
        <v>0</v>
      </c>
      <c r="L62" s="15">
        <v>2</v>
      </c>
      <c r="M62" s="15">
        <v>0</v>
      </c>
      <c r="N62" s="52">
        <v>0</v>
      </c>
      <c r="O62" s="51">
        <f t="shared" si="8"/>
        <v>2</v>
      </c>
      <c r="P62" s="51">
        <f t="shared" si="9"/>
        <v>2</v>
      </c>
      <c r="Q62" s="51">
        <f t="shared" si="10"/>
        <v>4</v>
      </c>
      <c r="R62" s="55"/>
      <c r="S62" s="15"/>
      <c r="T62" s="56" t="s">
        <v>36</v>
      </c>
      <c r="U62" s="15" t="s">
        <v>42</v>
      </c>
    </row>
    <row r="63" spans="1:24" x14ac:dyDescent="0.2">
      <c r="A63" s="62" t="s">
        <v>28</v>
      </c>
      <c r="B63" s="132"/>
      <c r="C63" s="133"/>
      <c r="D63" s="133"/>
      <c r="E63" s="133"/>
      <c r="F63" s="133"/>
      <c r="G63" s="133"/>
      <c r="H63" s="133"/>
      <c r="I63" s="134"/>
      <c r="J63" s="16">
        <f t="shared" ref="J63:Q63" si="11">SUM(J56:J62)</f>
        <v>32</v>
      </c>
      <c r="K63" s="16">
        <f t="shared" si="11"/>
        <v>8</v>
      </c>
      <c r="L63" s="16">
        <f t="shared" si="11"/>
        <v>4</v>
      </c>
      <c r="M63" s="16">
        <f t="shared" si="11"/>
        <v>11</v>
      </c>
      <c r="N63" s="53">
        <f t="shared" si="11"/>
        <v>0.5</v>
      </c>
      <c r="O63" s="53">
        <f t="shared" si="11"/>
        <v>23.5</v>
      </c>
      <c r="P63" s="53">
        <f t="shared" si="11"/>
        <v>34.5</v>
      </c>
      <c r="Q63" s="53">
        <f t="shared" si="11"/>
        <v>58</v>
      </c>
      <c r="R63" s="26">
        <f>COUNTIF(R56:R62,"E")</f>
        <v>6</v>
      </c>
      <c r="S63" s="26">
        <f>COUNTIF(S56:S62,"C")</f>
        <v>0</v>
      </c>
      <c r="T63" s="26">
        <f>COUNTIF(T56:T62,"VP")</f>
        <v>1</v>
      </c>
      <c r="U63" s="63">
        <f>COUNTA(U56:U62)</f>
        <v>7</v>
      </c>
      <c r="V63" s="278" t="str">
        <f>IF(R63&gt;=SUM(S63:T63),"Corect","E trebuie să fie cel puțin egal cu C+VP")</f>
        <v>Corect</v>
      </c>
      <c r="W63" s="278"/>
      <c r="X63" s="278"/>
    </row>
    <row r="64" spans="1:24" s="99" customFormat="1" x14ac:dyDescent="0.2">
      <c r="A64" s="69"/>
      <c r="B64" s="69"/>
      <c r="C64" s="69"/>
      <c r="D64" s="69"/>
      <c r="E64" s="69"/>
      <c r="F64" s="69"/>
      <c r="G64" s="69"/>
      <c r="H64" s="69"/>
      <c r="I64" s="69"/>
      <c r="J64" s="69"/>
      <c r="K64" s="69"/>
      <c r="L64" s="69"/>
      <c r="M64" s="69"/>
      <c r="N64" s="70"/>
      <c r="O64" s="70"/>
      <c r="P64" s="70"/>
      <c r="Q64" s="70"/>
      <c r="R64" s="69"/>
      <c r="S64" s="69"/>
      <c r="T64" s="69"/>
      <c r="U64" s="71"/>
      <c r="V64" s="100"/>
      <c r="W64" s="100"/>
      <c r="X64" s="100"/>
    </row>
    <row r="65" spans="1:24" s="99" customFormat="1" x14ac:dyDescent="0.2">
      <c r="A65" s="69"/>
      <c r="B65" s="69"/>
      <c r="C65" s="69"/>
      <c r="D65" s="69"/>
      <c r="E65" s="69"/>
      <c r="F65" s="69"/>
      <c r="G65" s="69"/>
      <c r="H65" s="69"/>
      <c r="I65" s="69"/>
      <c r="J65" s="69"/>
      <c r="K65" s="69"/>
      <c r="L65" s="69"/>
      <c r="M65" s="69"/>
      <c r="N65" s="70"/>
      <c r="O65" s="70"/>
      <c r="P65" s="70"/>
      <c r="Q65" s="70"/>
      <c r="R65" s="69"/>
      <c r="S65" s="69"/>
      <c r="T65" s="69"/>
      <c r="U65" s="71"/>
      <c r="V65" s="100"/>
      <c r="W65" s="100"/>
      <c r="X65" s="100"/>
    </row>
    <row r="66" spans="1:24" s="99" customFormat="1" x14ac:dyDescent="0.2">
      <c r="A66" s="69"/>
      <c r="B66" s="69"/>
      <c r="C66" s="69"/>
      <c r="D66" s="69"/>
      <c r="E66" s="69"/>
      <c r="F66" s="69"/>
      <c r="G66" s="69"/>
      <c r="H66" s="69"/>
      <c r="I66" s="69"/>
      <c r="J66" s="69"/>
      <c r="K66" s="69"/>
      <c r="L66" s="69"/>
      <c r="M66" s="69"/>
      <c r="N66" s="70"/>
      <c r="O66" s="70"/>
      <c r="P66" s="70"/>
      <c r="Q66" s="70"/>
      <c r="R66" s="69"/>
      <c r="S66" s="69"/>
      <c r="T66" s="69"/>
      <c r="U66" s="71"/>
      <c r="V66" s="100"/>
      <c r="W66" s="100"/>
      <c r="X66" s="100"/>
    </row>
    <row r="67" spans="1:24" s="99" customFormat="1" x14ac:dyDescent="0.2">
      <c r="A67" s="69"/>
      <c r="B67" s="69"/>
      <c r="C67" s="69"/>
      <c r="D67" s="69"/>
      <c r="E67" s="69"/>
      <c r="F67" s="69"/>
      <c r="G67" s="69"/>
      <c r="H67" s="69"/>
      <c r="I67" s="69"/>
      <c r="J67" s="69"/>
      <c r="K67" s="69"/>
      <c r="L67" s="69"/>
      <c r="M67" s="69"/>
      <c r="N67" s="70"/>
      <c r="O67" s="70"/>
      <c r="P67" s="70"/>
      <c r="Q67" s="70"/>
      <c r="R67" s="69"/>
      <c r="S67" s="69"/>
      <c r="T67" s="69"/>
      <c r="U67" s="71"/>
      <c r="V67" s="100"/>
      <c r="W67" s="100"/>
      <c r="X67" s="100"/>
    </row>
    <row r="68" spans="1:24" s="99" customFormat="1" x14ac:dyDescent="0.2">
      <c r="A68" s="69"/>
      <c r="B68" s="69"/>
      <c r="C68" s="69"/>
      <c r="D68" s="69"/>
      <c r="E68" s="69"/>
      <c r="F68" s="69"/>
      <c r="G68" s="69"/>
      <c r="H68" s="69"/>
      <c r="I68" s="69"/>
      <c r="J68" s="69"/>
      <c r="K68" s="69"/>
      <c r="L68" s="69"/>
      <c r="M68" s="69"/>
      <c r="N68" s="70"/>
      <c r="O68" s="70"/>
      <c r="P68" s="70"/>
      <c r="Q68" s="70"/>
      <c r="R68" s="69"/>
      <c r="S68" s="69"/>
      <c r="T68" s="69"/>
      <c r="U68" s="71"/>
      <c r="V68" s="100"/>
      <c r="W68" s="100"/>
      <c r="X68" s="100"/>
    </row>
    <row r="69" spans="1:24" ht="11.25" customHeight="1" x14ac:dyDescent="0.2">
      <c r="A69" s="92"/>
    </row>
    <row r="70" spans="1:24" x14ac:dyDescent="0.2">
      <c r="B70" s="7"/>
      <c r="C70" s="7"/>
      <c r="D70" s="7"/>
      <c r="E70" s="7"/>
      <c r="F70" s="7"/>
      <c r="G70" s="7"/>
      <c r="M70" s="7"/>
      <c r="N70" s="44"/>
      <c r="O70" s="7"/>
      <c r="P70" s="7"/>
      <c r="Q70" s="7"/>
      <c r="R70" s="7"/>
      <c r="S70" s="7"/>
      <c r="T70" s="7"/>
    </row>
    <row r="72" spans="1:24" ht="18" customHeight="1" x14ac:dyDescent="0.2">
      <c r="A72" s="236" t="s">
        <v>47</v>
      </c>
      <c r="B72" s="236"/>
      <c r="C72" s="236"/>
      <c r="D72" s="236"/>
      <c r="E72" s="236"/>
      <c r="F72" s="236"/>
      <c r="G72" s="236"/>
      <c r="H72" s="236"/>
      <c r="I72" s="236"/>
      <c r="J72" s="236"/>
      <c r="K72" s="236"/>
      <c r="L72" s="236"/>
      <c r="M72" s="236"/>
      <c r="N72" s="236"/>
      <c r="O72" s="236"/>
      <c r="P72" s="236"/>
      <c r="Q72" s="236"/>
      <c r="R72" s="236"/>
      <c r="S72" s="236"/>
      <c r="T72" s="236"/>
      <c r="U72" s="236"/>
    </row>
    <row r="73" spans="1:24" ht="25.5" customHeight="1" x14ac:dyDescent="0.2">
      <c r="A73" s="195" t="s">
        <v>30</v>
      </c>
      <c r="B73" s="197" t="s">
        <v>29</v>
      </c>
      <c r="C73" s="198"/>
      <c r="D73" s="198"/>
      <c r="E73" s="198"/>
      <c r="F73" s="198"/>
      <c r="G73" s="198"/>
      <c r="H73" s="198"/>
      <c r="I73" s="199"/>
      <c r="J73" s="203" t="s">
        <v>43</v>
      </c>
      <c r="K73" s="188" t="s">
        <v>27</v>
      </c>
      <c r="L73" s="189"/>
      <c r="M73" s="189"/>
      <c r="N73" s="190"/>
      <c r="O73" s="254" t="s">
        <v>44</v>
      </c>
      <c r="P73" s="255"/>
      <c r="Q73" s="256"/>
      <c r="R73" s="254" t="s">
        <v>26</v>
      </c>
      <c r="S73" s="257"/>
      <c r="T73" s="258"/>
      <c r="U73" s="249" t="s">
        <v>25</v>
      </c>
    </row>
    <row r="74" spans="1:24" ht="16.5" customHeight="1" x14ac:dyDescent="0.2">
      <c r="A74" s="196"/>
      <c r="B74" s="200"/>
      <c r="C74" s="201"/>
      <c r="D74" s="201"/>
      <c r="E74" s="201"/>
      <c r="F74" s="201"/>
      <c r="G74" s="201"/>
      <c r="H74" s="201"/>
      <c r="I74" s="202"/>
      <c r="J74" s="204"/>
      <c r="K74" s="5" t="s">
        <v>31</v>
      </c>
      <c r="L74" s="5" t="s">
        <v>32</v>
      </c>
      <c r="M74" s="5" t="s">
        <v>33</v>
      </c>
      <c r="N74" s="49" t="s">
        <v>108</v>
      </c>
      <c r="O74" s="64" t="s">
        <v>37</v>
      </c>
      <c r="P74" s="64" t="s">
        <v>8</v>
      </c>
      <c r="Q74" s="64" t="s">
        <v>34</v>
      </c>
      <c r="R74" s="64" t="s">
        <v>35</v>
      </c>
      <c r="S74" s="64" t="s">
        <v>31</v>
      </c>
      <c r="T74" s="64" t="s">
        <v>36</v>
      </c>
      <c r="U74" s="204"/>
    </row>
    <row r="75" spans="1:24" x14ac:dyDescent="0.2">
      <c r="A75" s="38" t="s">
        <v>159</v>
      </c>
      <c r="B75" s="229" t="s">
        <v>160</v>
      </c>
      <c r="C75" s="230"/>
      <c r="D75" s="230"/>
      <c r="E75" s="230"/>
      <c r="F75" s="230"/>
      <c r="G75" s="230"/>
      <c r="H75" s="230"/>
      <c r="I75" s="231"/>
      <c r="J75" s="10">
        <v>5</v>
      </c>
      <c r="K75" s="10">
        <v>2</v>
      </c>
      <c r="L75" s="10">
        <v>1</v>
      </c>
      <c r="M75" s="10">
        <v>0</v>
      </c>
      <c r="N75" s="50">
        <v>0</v>
      </c>
      <c r="O75" s="51">
        <f>K75+L75+M75+N75</f>
        <v>3</v>
      </c>
      <c r="P75" s="51">
        <f>Q75-O75</f>
        <v>6</v>
      </c>
      <c r="Q75" s="51">
        <f>ROUND(PRODUCT(J75,25)/14,0)</f>
        <v>9</v>
      </c>
      <c r="R75" s="18" t="s">
        <v>35</v>
      </c>
      <c r="S75" s="10"/>
      <c r="T75" s="19"/>
      <c r="U75" s="10" t="s">
        <v>40</v>
      </c>
    </row>
    <row r="76" spans="1:24" x14ac:dyDescent="0.2">
      <c r="A76" s="38" t="s">
        <v>161</v>
      </c>
      <c r="B76" s="229" t="s">
        <v>162</v>
      </c>
      <c r="C76" s="230"/>
      <c r="D76" s="230"/>
      <c r="E76" s="230"/>
      <c r="F76" s="230"/>
      <c r="G76" s="230"/>
      <c r="H76" s="230"/>
      <c r="I76" s="231"/>
      <c r="J76" s="10">
        <v>6</v>
      </c>
      <c r="K76" s="10">
        <v>2</v>
      </c>
      <c r="L76" s="10">
        <v>0</v>
      </c>
      <c r="M76" s="10">
        <v>2</v>
      </c>
      <c r="N76" s="50">
        <v>0</v>
      </c>
      <c r="O76" s="51">
        <f t="shared" ref="O76:O81" si="12">K76+L76+M76+N76</f>
        <v>4</v>
      </c>
      <c r="P76" s="51">
        <f t="shared" ref="P76:P81" si="13">Q76-O76</f>
        <v>7</v>
      </c>
      <c r="Q76" s="51">
        <f t="shared" ref="Q76:Q81" si="14">ROUND(PRODUCT(J76,25)/14,0)</f>
        <v>11</v>
      </c>
      <c r="R76" s="18" t="s">
        <v>35</v>
      </c>
      <c r="S76" s="10"/>
      <c r="T76" s="19"/>
      <c r="U76" s="10" t="s">
        <v>41</v>
      </c>
    </row>
    <row r="77" spans="1:24" x14ac:dyDescent="0.2">
      <c r="A77" s="38" t="s">
        <v>163</v>
      </c>
      <c r="B77" s="229" t="s">
        <v>164</v>
      </c>
      <c r="C77" s="230"/>
      <c r="D77" s="230"/>
      <c r="E77" s="230"/>
      <c r="F77" s="230"/>
      <c r="G77" s="230"/>
      <c r="H77" s="230"/>
      <c r="I77" s="231"/>
      <c r="J77" s="10">
        <v>6</v>
      </c>
      <c r="K77" s="10">
        <v>2</v>
      </c>
      <c r="L77" s="10">
        <v>0</v>
      </c>
      <c r="M77" s="10">
        <v>2</v>
      </c>
      <c r="N77" s="50">
        <v>0</v>
      </c>
      <c r="O77" s="51">
        <f t="shared" si="12"/>
        <v>4</v>
      </c>
      <c r="P77" s="51">
        <f t="shared" si="13"/>
        <v>7</v>
      </c>
      <c r="Q77" s="51">
        <f t="shared" si="14"/>
        <v>11</v>
      </c>
      <c r="R77" s="18" t="s">
        <v>35</v>
      </c>
      <c r="S77" s="10"/>
      <c r="T77" s="19"/>
      <c r="U77" s="10" t="s">
        <v>41</v>
      </c>
    </row>
    <row r="78" spans="1:24" x14ac:dyDescent="0.2">
      <c r="A78" s="38" t="s">
        <v>165</v>
      </c>
      <c r="B78" s="229" t="s">
        <v>166</v>
      </c>
      <c r="C78" s="230"/>
      <c r="D78" s="230"/>
      <c r="E78" s="230"/>
      <c r="F78" s="230"/>
      <c r="G78" s="230"/>
      <c r="H78" s="230"/>
      <c r="I78" s="231"/>
      <c r="J78" s="10">
        <v>6</v>
      </c>
      <c r="K78" s="10">
        <v>2</v>
      </c>
      <c r="L78" s="10">
        <v>2</v>
      </c>
      <c r="M78" s="10">
        <v>0</v>
      </c>
      <c r="N78" s="50">
        <v>0</v>
      </c>
      <c r="O78" s="51">
        <f t="shared" si="12"/>
        <v>4</v>
      </c>
      <c r="P78" s="51">
        <f t="shared" si="13"/>
        <v>7</v>
      </c>
      <c r="Q78" s="51">
        <f t="shared" si="14"/>
        <v>11</v>
      </c>
      <c r="R78" s="18" t="s">
        <v>35</v>
      </c>
      <c r="S78" s="10"/>
      <c r="T78" s="19"/>
      <c r="U78" s="10" t="s">
        <v>40</v>
      </c>
    </row>
    <row r="79" spans="1:24" x14ac:dyDescent="0.2">
      <c r="A79" s="38" t="s">
        <v>167</v>
      </c>
      <c r="B79" s="229" t="s">
        <v>168</v>
      </c>
      <c r="C79" s="230"/>
      <c r="D79" s="230"/>
      <c r="E79" s="230"/>
      <c r="F79" s="230"/>
      <c r="G79" s="230"/>
      <c r="H79" s="230"/>
      <c r="I79" s="231"/>
      <c r="J79" s="10">
        <v>3</v>
      </c>
      <c r="K79" s="10">
        <v>1</v>
      </c>
      <c r="L79" s="10">
        <v>0</v>
      </c>
      <c r="M79" s="10">
        <v>1</v>
      </c>
      <c r="N79" s="50">
        <v>0</v>
      </c>
      <c r="O79" s="51">
        <f t="shared" si="12"/>
        <v>2</v>
      </c>
      <c r="P79" s="51">
        <f t="shared" si="13"/>
        <v>3</v>
      </c>
      <c r="Q79" s="51">
        <f t="shared" si="14"/>
        <v>5</v>
      </c>
      <c r="R79" s="18" t="s">
        <v>35</v>
      </c>
      <c r="S79" s="10"/>
      <c r="T79" s="19"/>
      <c r="U79" s="10" t="s">
        <v>41</v>
      </c>
    </row>
    <row r="80" spans="1:24" x14ac:dyDescent="0.2">
      <c r="A80" s="38" t="s">
        <v>169</v>
      </c>
      <c r="B80" s="229" t="s">
        <v>170</v>
      </c>
      <c r="C80" s="230"/>
      <c r="D80" s="230"/>
      <c r="E80" s="230"/>
      <c r="F80" s="230"/>
      <c r="G80" s="230"/>
      <c r="H80" s="230"/>
      <c r="I80" s="231"/>
      <c r="J80" s="10">
        <v>4</v>
      </c>
      <c r="K80" s="10">
        <v>1</v>
      </c>
      <c r="L80" s="10">
        <v>0</v>
      </c>
      <c r="M80" s="10">
        <v>2</v>
      </c>
      <c r="N80" s="50">
        <v>0</v>
      </c>
      <c r="O80" s="51">
        <f t="shared" si="12"/>
        <v>3</v>
      </c>
      <c r="P80" s="51">
        <f t="shared" si="13"/>
        <v>4</v>
      </c>
      <c r="Q80" s="51">
        <f t="shared" si="14"/>
        <v>7</v>
      </c>
      <c r="R80" s="18"/>
      <c r="S80" s="10"/>
      <c r="T80" s="19" t="s">
        <v>36</v>
      </c>
      <c r="U80" s="10" t="s">
        <v>41</v>
      </c>
    </row>
    <row r="81" spans="1:24" x14ac:dyDescent="0.2">
      <c r="A81" s="73" t="s">
        <v>115</v>
      </c>
      <c r="B81" s="263" t="s">
        <v>102</v>
      </c>
      <c r="C81" s="264"/>
      <c r="D81" s="264"/>
      <c r="E81" s="264"/>
      <c r="F81" s="264"/>
      <c r="G81" s="264"/>
      <c r="H81" s="264"/>
      <c r="I81" s="265"/>
      <c r="J81" s="74">
        <v>3</v>
      </c>
      <c r="K81" s="74">
        <v>0</v>
      </c>
      <c r="L81" s="74">
        <v>0</v>
      </c>
      <c r="M81" s="74">
        <v>2</v>
      </c>
      <c r="N81" s="75">
        <v>0</v>
      </c>
      <c r="O81" s="51">
        <f t="shared" si="12"/>
        <v>2</v>
      </c>
      <c r="P81" s="51">
        <f t="shared" si="13"/>
        <v>3</v>
      </c>
      <c r="Q81" s="51">
        <f t="shared" si="14"/>
        <v>5</v>
      </c>
      <c r="R81" s="55"/>
      <c r="S81" s="74" t="s">
        <v>31</v>
      </c>
      <c r="T81" s="76"/>
      <c r="U81" s="74" t="s">
        <v>42</v>
      </c>
    </row>
    <row r="82" spans="1:24" x14ac:dyDescent="0.2">
      <c r="A82" s="16" t="s">
        <v>28</v>
      </c>
      <c r="B82" s="132"/>
      <c r="C82" s="133"/>
      <c r="D82" s="133"/>
      <c r="E82" s="133"/>
      <c r="F82" s="133"/>
      <c r="G82" s="133"/>
      <c r="H82" s="133"/>
      <c r="I82" s="134"/>
      <c r="J82" s="16">
        <f t="shared" ref="J82:Q82" si="15">SUM(J75:J81)</f>
        <v>33</v>
      </c>
      <c r="K82" s="16">
        <f t="shared" si="15"/>
        <v>10</v>
      </c>
      <c r="L82" s="16">
        <f t="shared" si="15"/>
        <v>3</v>
      </c>
      <c r="M82" s="16">
        <f t="shared" si="15"/>
        <v>9</v>
      </c>
      <c r="N82" s="53">
        <f t="shared" si="15"/>
        <v>0</v>
      </c>
      <c r="O82" s="53">
        <f t="shared" si="15"/>
        <v>22</v>
      </c>
      <c r="P82" s="53">
        <f t="shared" si="15"/>
        <v>37</v>
      </c>
      <c r="Q82" s="53">
        <f t="shared" si="15"/>
        <v>59</v>
      </c>
      <c r="R82" s="16">
        <f>COUNTIF(R75:R81,"E")</f>
        <v>5</v>
      </c>
      <c r="S82" s="16">
        <f>COUNTIF(S75:S81,"C")</f>
        <v>1</v>
      </c>
      <c r="T82" s="16">
        <f>COUNTIF(T75:T81,"VP")</f>
        <v>1</v>
      </c>
      <c r="U82" s="39">
        <f>COUNTA(U75:U81)</f>
        <v>7</v>
      </c>
      <c r="V82" s="279" t="str">
        <f>IF(R82&gt;=SUM(S82:T82),"Corect","E trebuie să fie cel puțin egal cu C+VP")</f>
        <v>Corect</v>
      </c>
      <c r="W82" s="280"/>
      <c r="X82" s="280"/>
    </row>
    <row r="83" spans="1:24" s="92" customFormat="1" ht="12.75" customHeight="1" x14ac:dyDescent="0.2">
      <c r="A83" s="293" t="s">
        <v>240</v>
      </c>
      <c r="B83" s="293"/>
      <c r="C83" s="293"/>
      <c r="D83" s="293"/>
      <c r="E83" s="293"/>
      <c r="F83" s="293"/>
      <c r="G83" s="293"/>
      <c r="H83" s="293"/>
      <c r="I83" s="293"/>
      <c r="J83" s="293"/>
      <c r="K83" s="293"/>
      <c r="L83" s="293"/>
      <c r="M83" s="293"/>
      <c r="N83" s="293"/>
      <c r="O83" s="293"/>
      <c r="P83" s="293"/>
      <c r="Q83" s="293"/>
      <c r="R83" s="293"/>
      <c r="S83" s="293"/>
      <c r="T83" s="293"/>
      <c r="U83" s="293"/>
      <c r="V83" s="93"/>
    </row>
    <row r="84" spans="1:24" s="92" customFormat="1" x14ac:dyDescent="0.2">
      <c r="A84" s="294"/>
      <c r="B84" s="294"/>
      <c r="C84" s="294"/>
      <c r="D84" s="294"/>
      <c r="E84" s="294"/>
      <c r="F84" s="294"/>
      <c r="G84" s="294"/>
      <c r="H84" s="294"/>
      <c r="I84" s="294"/>
      <c r="J84" s="294"/>
      <c r="K84" s="294"/>
      <c r="L84" s="294"/>
      <c r="M84" s="294"/>
      <c r="N84" s="294"/>
      <c r="O84" s="294"/>
      <c r="P84" s="294"/>
      <c r="Q84" s="294"/>
      <c r="R84" s="294"/>
      <c r="S84" s="294"/>
      <c r="T84" s="294"/>
      <c r="U84" s="294"/>
      <c r="V84" s="93"/>
    </row>
    <row r="85" spans="1:24" s="99" customFormat="1" x14ac:dyDescent="0.2">
      <c r="A85" s="98"/>
      <c r="B85" s="98"/>
      <c r="C85" s="98"/>
      <c r="D85" s="98"/>
      <c r="E85" s="98"/>
      <c r="F85" s="98"/>
      <c r="G85" s="98"/>
      <c r="H85" s="98"/>
      <c r="I85" s="98"/>
      <c r="J85" s="98"/>
      <c r="K85" s="98"/>
      <c r="L85" s="98"/>
      <c r="M85" s="98"/>
      <c r="N85" s="98"/>
      <c r="O85" s="98"/>
      <c r="P85" s="98"/>
      <c r="Q85" s="98"/>
      <c r="R85" s="98"/>
      <c r="S85" s="98"/>
      <c r="T85" s="98"/>
      <c r="U85" s="98"/>
      <c r="V85" s="100"/>
    </row>
    <row r="86" spans="1:24" s="99" customFormat="1" x14ac:dyDescent="0.2">
      <c r="A86" s="98"/>
      <c r="B86" s="98"/>
      <c r="C86" s="98"/>
      <c r="D86" s="98"/>
      <c r="E86" s="98"/>
      <c r="F86" s="98"/>
      <c r="G86" s="98"/>
      <c r="H86" s="98"/>
      <c r="I86" s="98"/>
      <c r="J86" s="98"/>
      <c r="K86" s="98"/>
      <c r="L86" s="98"/>
      <c r="M86" s="98"/>
      <c r="N86" s="98"/>
      <c r="O86" s="98"/>
      <c r="P86" s="98"/>
      <c r="Q86" s="98"/>
      <c r="R86" s="98"/>
      <c r="S86" s="98"/>
      <c r="T86" s="98"/>
      <c r="U86" s="98"/>
      <c r="V86" s="100"/>
    </row>
    <row r="87" spans="1:24" s="99" customFormat="1" x14ac:dyDescent="0.2">
      <c r="A87" s="98"/>
      <c r="B87" s="98"/>
      <c r="C87" s="98"/>
      <c r="D87" s="98"/>
      <c r="E87" s="98"/>
      <c r="F87" s="98"/>
      <c r="G87" s="98"/>
      <c r="H87" s="98"/>
      <c r="I87" s="98"/>
      <c r="J87" s="98"/>
      <c r="K87" s="98"/>
      <c r="L87" s="98"/>
      <c r="M87" s="98"/>
      <c r="N87" s="98"/>
      <c r="O87" s="98"/>
      <c r="P87" s="98"/>
      <c r="Q87" s="98"/>
      <c r="R87" s="98"/>
      <c r="S87" s="98"/>
      <c r="T87" s="98"/>
      <c r="U87" s="98"/>
      <c r="V87" s="100"/>
    </row>
    <row r="88" spans="1:24" s="99" customFormat="1" x14ac:dyDescent="0.2">
      <c r="A88" s="98"/>
      <c r="B88" s="98"/>
      <c r="C88" s="98"/>
      <c r="D88" s="98"/>
      <c r="E88" s="98"/>
      <c r="F88" s="98"/>
      <c r="G88" s="98"/>
      <c r="H88" s="98"/>
      <c r="I88" s="98"/>
      <c r="J88" s="98"/>
      <c r="K88" s="98"/>
      <c r="L88" s="98"/>
      <c r="M88" s="98"/>
      <c r="N88" s="98"/>
      <c r="O88" s="98"/>
      <c r="P88" s="98"/>
      <c r="Q88" s="98"/>
      <c r="R88" s="98"/>
      <c r="S88" s="98"/>
      <c r="T88" s="98"/>
      <c r="U88" s="98"/>
      <c r="V88" s="100"/>
    </row>
    <row r="90" spans="1:24" x14ac:dyDescent="0.2">
      <c r="A90" s="236" t="s">
        <v>48</v>
      </c>
      <c r="B90" s="236"/>
      <c r="C90" s="236"/>
      <c r="D90" s="236"/>
      <c r="E90" s="236"/>
      <c r="F90" s="236"/>
      <c r="G90" s="236"/>
      <c r="H90" s="236"/>
      <c r="I90" s="236"/>
      <c r="J90" s="236"/>
      <c r="K90" s="236"/>
      <c r="L90" s="236"/>
      <c r="M90" s="236"/>
      <c r="N90" s="236"/>
      <c r="O90" s="236"/>
      <c r="P90" s="236"/>
      <c r="Q90" s="236"/>
      <c r="R90" s="236"/>
      <c r="S90" s="236"/>
      <c r="T90" s="236"/>
      <c r="U90" s="236"/>
    </row>
    <row r="91" spans="1:24" ht="24.75" customHeight="1" x14ac:dyDescent="0.2">
      <c r="A91" s="195" t="s">
        <v>30</v>
      </c>
      <c r="B91" s="197" t="s">
        <v>29</v>
      </c>
      <c r="C91" s="198"/>
      <c r="D91" s="198"/>
      <c r="E91" s="198"/>
      <c r="F91" s="198"/>
      <c r="G91" s="198"/>
      <c r="H91" s="198"/>
      <c r="I91" s="199"/>
      <c r="J91" s="203" t="s">
        <v>43</v>
      </c>
      <c r="K91" s="188" t="s">
        <v>27</v>
      </c>
      <c r="L91" s="189"/>
      <c r="M91" s="189"/>
      <c r="N91" s="190"/>
      <c r="O91" s="254" t="s">
        <v>44</v>
      </c>
      <c r="P91" s="255"/>
      <c r="Q91" s="256"/>
      <c r="R91" s="254" t="s">
        <v>26</v>
      </c>
      <c r="S91" s="257"/>
      <c r="T91" s="258"/>
      <c r="U91" s="249" t="s">
        <v>25</v>
      </c>
    </row>
    <row r="92" spans="1:24" x14ac:dyDescent="0.2">
      <c r="A92" s="196"/>
      <c r="B92" s="200"/>
      <c r="C92" s="201"/>
      <c r="D92" s="201"/>
      <c r="E92" s="201"/>
      <c r="F92" s="201"/>
      <c r="G92" s="201"/>
      <c r="H92" s="201"/>
      <c r="I92" s="202"/>
      <c r="J92" s="204"/>
      <c r="K92" s="5" t="s">
        <v>31</v>
      </c>
      <c r="L92" s="5" t="s">
        <v>32</v>
      </c>
      <c r="M92" s="5" t="s">
        <v>33</v>
      </c>
      <c r="N92" s="49" t="s">
        <v>108</v>
      </c>
      <c r="O92" s="64" t="s">
        <v>37</v>
      </c>
      <c r="P92" s="64" t="s">
        <v>8</v>
      </c>
      <c r="Q92" s="64" t="s">
        <v>34</v>
      </c>
      <c r="R92" s="64" t="s">
        <v>35</v>
      </c>
      <c r="S92" s="64" t="s">
        <v>31</v>
      </c>
      <c r="T92" s="64" t="s">
        <v>36</v>
      </c>
      <c r="U92" s="204"/>
    </row>
    <row r="93" spans="1:24" x14ac:dyDescent="0.2">
      <c r="A93" s="38" t="s">
        <v>171</v>
      </c>
      <c r="B93" s="229" t="s">
        <v>172</v>
      </c>
      <c r="C93" s="230"/>
      <c r="D93" s="230"/>
      <c r="E93" s="230"/>
      <c r="F93" s="230"/>
      <c r="G93" s="230"/>
      <c r="H93" s="230"/>
      <c r="I93" s="231"/>
      <c r="J93" s="10">
        <v>4</v>
      </c>
      <c r="K93" s="10">
        <v>2</v>
      </c>
      <c r="L93" s="10">
        <v>1</v>
      </c>
      <c r="M93" s="10">
        <v>0</v>
      </c>
      <c r="N93" s="50">
        <v>0</v>
      </c>
      <c r="O93" s="51">
        <f>K93+L93+M93+N93</f>
        <v>3</v>
      </c>
      <c r="P93" s="51">
        <f>Q93-O93</f>
        <v>4</v>
      </c>
      <c r="Q93" s="51">
        <f>ROUND(PRODUCT(J93,25)/14,0)</f>
        <v>7</v>
      </c>
      <c r="R93" s="18" t="s">
        <v>35</v>
      </c>
      <c r="S93" s="10"/>
      <c r="T93" s="19"/>
      <c r="U93" s="10" t="s">
        <v>40</v>
      </c>
    </row>
    <row r="94" spans="1:24" x14ac:dyDescent="0.2">
      <c r="A94" s="38" t="s">
        <v>173</v>
      </c>
      <c r="B94" s="308" t="s">
        <v>174</v>
      </c>
      <c r="C94" s="309"/>
      <c r="D94" s="309"/>
      <c r="E94" s="309"/>
      <c r="F94" s="309"/>
      <c r="G94" s="309"/>
      <c r="H94" s="309"/>
      <c r="I94" s="310"/>
      <c r="J94" s="311">
        <v>5</v>
      </c>
      <c r="K94" s="311">
        <v>2</v>
      </c>
      <c r="L94" s="311">
        <v>0</v>
      </c>
      <c r="M94" s="311">
        <v>2</v>
      </c>
      <c r="N94" s="312">
        <v>0</v>
      </c>
      <c r="O94" s="313">
        <f t="shared" ref="O94:O100" si="16">K94+L94+M94+N94</f>
        <v>4</v>
      </c>
      <c r="P94" s="313">
        <f t="shared" ref="P94:P100" si="17">Q94-O94</f>
        <v>5</v>
      </c>
      <c r="Q94" s="313">
        <f t="shared" ref="Q94:Q100" si="18">ROUND(PRODUCT(J94,25)/14,0)</f>
        <v>9</v>
      </c>
      <c r="R94" s="314" t="s">
        <v>35</v>
      </c>
      <c r="S94" s="311"/>
      <c r="T94" s="19"/>
      <c r="U94" s="10" t="s">
        <v>41</v>
      </c>
    </row>
    <row r="95" spans="1:24" x14ac:dyDescent="0.2">
      <c r="A95" s="38" t="s">
        <v>175</v>
      </c>
      <c r="B95" s="308" t="s">
        <v>176</v>
      </c>
      <c r="C95" s="309"/>
      <c r="D95" s="309"/>
      <c r="E95" s="309"/>
      <c r="F95" s="309"/>
      <c r="G95" s="309"/>
      <c r="H95" s="309"/>
      <c r="I95" s="310"/>
      <c r="J95" s="311">
        <v>4</v>
      </c>
      <c r="K95" s="311">
        <v>1</v>
      </c>
      <c r="L95" s="311">
        <v>0</v>
      </c>
      <c r="M95" s="311">
        <v>2</v>
      </c>
      <c r="N95" s="312">
        <v>0</v>
      </c>
      <c r="O95" s="313">
        <f t="shared" si="16"/>
        <v>3</v>
      </c>
      <c r="P95" s="313">
        <f t="shared" si="17"/>
        <v>4</v>
      </c>
      <c r="Q95" s="313">
        <f t="shared" si="18"/>
        <v>7</v>
      </c>
      <c r="R95" s="314" t="s">
        <v>35</v>
      </c>
      <c r="S95" s="311"/>
      <c r="T95" s="19"/>
      <c r="U95" s="10" t="s">
        <v>41</v>
      </c>
    </row>
    <row r="96" spans="1:24" x14ac:dyDescent="0.2">
      <c r="A96" s="38" t="s">
        <v>177</v>
      </c>
      <c r="B96" s="308" t="s">
        <v>178</v>
      </c>
      <c r="C96" s="309"/>
      <c r="D96" s="309"/>
      <c r="E96" s="309"/>
      <c r="F96" s="309"/>
      <c r="G96" s="309"/>
      <c r="H96" s="309"/>
      <c r="I96" s="310"/>
      <c r="J96" s="311">
        <v>5</v>
      </c>
      <c r="K96" s="311">
        <v>2</v>
      </c>
      <c r="L96" s="311">
        <v>0</v>
      </c>
      <c r="M96" s="311">
        <v>2</v>
      </c>
      <c r="N96" s="312">
        <v>0</v>
      </c>
      <c r="O96" s="313">
        <f t="shared" si="16"/>
        <v>4</v>
      </c>
      <c r="P96" s="313">
        <f t="shared" si="17"/>
        <v>5</v>
      </c>
      <c r="Q96" s="313">
        <f t="shared" si="18"/>
        <v>9</v>
      </c>
      <c r="R96" s="314" t="s">
        <v>35</v>
      </c>
      <c r="S96" s="311"/>
      <c r="T96" s="19"/>
      <c r="U96" s="10" t="s">
        <v>41</v>
      </c>
    </row>
    <row r="97" spans="1:24" x14ac:dyDescent="0.2">
      <c r="A97" s="38" t="s">
        <v>179</v>
      </c>
      <c r="B97" s="308" t="s">
        <v>180</v>
      </c>
      <c r="C97" s="309"/>
      <c r="D97" s="309"/>
      <c r="E97" s="309"/>
      <c r="F97" s="309"/>
      <c r="G97" s="309"/>
      <c r="H97" s="309"/>
      <c r="I97" s="310"/>
      <c r="J97" s="311">
        <v>5</v>
      </c>
      <c r="K97" s="311">
        <v>2</v>
      </c>
      <c r="L97" s="311">
        <v>2</v>
      </c>
      <c r="M97" s="311">
        <v>0</v>
      </c>
      <c r="N97" s="312">
        <v>0</v>
      </c>
      <c r="O97" s="313">
        <f t="shared" si="16"/>
        <v>4</v>
      </c>
      <c r="P97" s="313">
        <f t="shared" si="17"/>
        <v>5</v>
      </c>
      <c r="Q97" s="313">
        <f t="shared" si="18"/>
        <v>9</v>
      </c>
      <c r="R97" s="314" t="s">
        <v>35</v>
      </c>
      <c r="S97" s="311"/>
      <c r="T97" s="19"/>
      <c r="U97" s="10" t="s">
        <v>40</v>
      </c>
    </row>
    <row r="98" spans="1:24" x14ac:dyDescent="0.2">
      <c r="A98" s="38" t="s">
        <v>181</v>
      </c>
      <c r="B98" s="308" t="s">
        <v>182</v>
      </c>
      <c r="C98" s="309"/>
      <c r="D98" s="309"/>
      <c r="E98" s="309"/>
      <c r="F98" s="309"/>
      <c r="G98" s="309"/>
      <c r="H98" s="309"/>
      <c r="I98" s="310"/>
      <c r="J98" s="311">
        <v>4</v>
      </c>
      <c r="K98" s="311">
        <v>1</v>
      </c>
      <c r="L98" s="311">
        <v>0</v>
      </c>
      <c r="M98" s="311">
        <v>2</v>
      </c>
      <c r="N98" s="312">
        <v>0</v>
      </c>
      <c r="O98" s="313">
        <f t="shared" si="16"/>
        <v>3</v>
      </c>
      <c r="P98" s="313">
        <f t="shared" si="17"/>
        <v>4</v>
      </c>
      <c r="Q98" s="313">
        <f t="shared" si="18"/>
        <v>7</v>
      </c>
      <c r="R98" s="314"/>
      <c r="S98" s="311"/>
      <c r="T98" s="19" t="s">
        <v>36</v>
      </c>
      <c r="U98" s="10" t="s">
        <v>41</v>
      </c>
    </row>
    <row r="99" spans="1:24" x14ac:dyDescent="0.2">
      <c r="A99" s="38" t="s">
        <v>183</v>
      </c>
      <c r="B99" s="308" t="s">
        <v>249</v>
      </c>
      <c r="C99" s="309"/>
      <c r="D99" s="309"/>
      <c r="E99" s="309"/>
      <c r="F99" s="309"/>
      <c r="G99" s="309"/>
      <c r="H99" s="309"/>
      <c r="I99" s="310"/>
      <c r="J99" s="311">
        <v>3</v>
      </c>
      <c r="K99" s="311">
        <v>0</v>
      </c>
      <c r="L99" s="311">
        <v>0</v>
      </c>
      <c r="M99" s="311">
        <v>0</v>
      </c>
      <c r="N99" s="312">
        <v>0</v>
      </c>
      <c r="O99" s="313">
        <f t="shared" si="16"/>
        <v>0</v>
      </c>
      <c r="P99" s="313">
        <f t="shared" si="17"/>
        <v>5</v>
      </c>
      <c r="Q99" s="313">
        <f t="shared" si="18"/>
        <v>5</v>
      </c>
      <c r="R99" s="314"/>
      <c r="S99" s="311" t="s">
        <v>31</v>
      </c>
      <c r="T99" s="19"/>
      <c r="U99" s="10" t="s">
        <v>41</v>
      </c>
    </row>
    <row r="100" spans="1:24" x14ac:dyDescent="0.2">
      <c r="A100" s="73" t="s">
        <v>242</v>
      </c>
      <c r="B100" s="315" t="s">
        <v>103</v>
      </c>
      <c r="C100" s="316"/>
      <c r="D100" s="316"/>
      <c r="E100" s="316"/>
      <c r="F100" s="316"/>
      <c r="G100" s="316"/>
      <c r="H100" s="316"/>
      <c r="I100" s="317"/>
      <c r="J100" s="318">
        <v>3</v>
      </c>
      <c r="K100" s="318">
        <v>0</v>
      </c>
      <c r="L100" s="318">
        <v>0</v>
      </c>
      <c r="M100" s="318">
        <v>2</v>
      </c>
      <c r="N100" s="319">
        <v>0</v>
      </c>
      <c r="O100" s="313">
        <f t="shared" si="16"/>
        <v>2</v>
      </c>
      <c r="P100" s="313">
        <f t="shared" si="17"/>
        <v>3</v>
      </c>
      <c r="Q100" s="313">
        <f t="shared" si="18"/>
        <v>5</v>
      </c>
      <c r="R100" s="320"/>
      <c r="S100" s="318" t="s">
        <v>31</v>
      </c>
      <c r="T100" s="76"/>
      <c r="U100" s="74" t="s">
        <v>42</v>
      </c>
      <c r="V100" s="103"/>
      <c r="W100" s="103"/>
      <c r="X100" s="103"/>
    </row>
    <row r="101" spans="1:24" x14ac:dyDescent="0.2">
      <c r="A101" s="16" t="s">
        <v>28</v>
      </c>
      <c r="B101" s="321"/>
      <c r="C101" s="322"/>
      <c r="D101" s="322"/>
      <c r="E101" s="322"/>
      <c r="F101" s="322"/>
      <c r="G101" s="322"/>
      <c r="H101" s="322"/>
      <c r="I101" s="323"/>
      <c r="J101" s="324">
        <f t="shared" ref="J101:Q101" si="19">SUM(J93:J100)</f>
        <v>33</v>
      </c>
      <c r="K101" s="324">
        <f t="shared" si="19"/>
        <v>10</v>
      </c>
      <c r="L101" s="324">
        <f t="shared" si="19"/>
        <v>3</v>
      </c>
      <c r="M101" s="324">
        <f t="shared" si="19"/>
        <v>10</v>
      </c>
      <c r="N101" s="325">
        <f t="shared" si="19"/>
        <v>0</v>
      </c>
      <c r="O101" s="325">
        <f t="shared" si="19"/>
        <v>23</v>
      </c>
      <c r="P101" s="325">
        <f t="shared" si="19"/>
        <v>35</v>
      </c>
      <c r="Q101" s="325">
        <f t="shared" si="19"/>
        <v>58</v>
      </c>
      <c r="R101" s="324">
        <f>COUNTIF(R93:R100,"E")</f>
        <v>5</v>
      </c>
      <c r="S101" s="324">
        <f>COUNTIF(S93:S100,"C")</f>
        <v>2</v>
      </c>
      <c r="T101" s="16">
        <f>COUNTIF(T93:T100,"VP")</f>
        <v>1</v>
      </c>
      <c r="U101" s="39">
        <f>COUNTA(U93:U100)</f>
        <v>8</v>
      </c>
      <c r="V101" s="279" t="str">
        <f>IF(R101&gt;=SUM(S101:T101),"Corect","E trebuie să fie cel puțin egal cu C+VP")</f>
        <v>Corect</v>
      </c>
      <c r="W101" s="280"/>
      <c r="X101" s="280"/>
    </row>
    <row r="102" spans="1:24" s="92" customFormat="1" ht="12.75" customHeight="1" x14ac:dyDescent="0.2">
      <c r="A102" s="293" t="s">
        <v>241</v>
      </c>
      <c r="B102" s="293"/>
      <c r="C102" s="293"/>
      <c r="D102" s="293"/>
      <c r="E102" s="293"/>
      <c r="F102" s="293"/>
      <c r="G102" s="293"/>
      <c r="H102" s="293"/>
      <c r="I102" s="293"/>
      <c r="J102" s="293"/>
      <c r="K102" s="293"/>
      <c r="L102" s="293"/>
      <c r="M102" s="293"/>
      <c r="N102" s="293"/>
      <c r="O102" s="293"/>
      <c r="P102" s="293"/>
      <c r="Q102" s="293"/>
      <c r="R102" s="293"/>
      <c r="S102" s="293"/>
      <c r="T102" s="293"/>
      <c r="U102" s="293"/>
      <c r="V102" s="93"/>
    </row>
    <row r="103" spans="1:24" x14ac:dyDescent="0.2">
      <c r="A103" s="294"/>
      <c r="B103" s="294"/>
      <c r="C103" s="294"/>
      <c r="D103" s="294"/>
      <c r="E103" s="294"/>
      <c r="F103" s="294"/>
      <c r="G103" s="294"/>
      <c r="H103" s="294"/>
      <c r="I103" s="294"/>
      <c r="J103" s="294"/>
      <c r="K103" s="294"/>
      <c r="L103" s="294"/>
      <c r="M103" s="294"/>
      <c r="N103" s="294"/>
      <c r="O103" s="294"/>
      <c r="P103" s="294"/>
      <c r="Q103" s="294"/>
      <c r="R103" s="294"/>
      <c r="S103" s="294"/>
      <c r="T103" s="294"/>
      <c r="U103" s="294"/>
    </row>
    <row r="104" spans="1:24" s="99" customFormat="1" x14ac:dyDescent="0.2">
      <c r="A104" s="98"/>
      <c r="B104" s="98"/>
      <c r="C104" s="98"/>
      <c r="D104" s="98"/>
      <c r="E104" s="98"/>
      <c r="F104" s="98"/>
      <c r="G104" s="98"/>
      <c r="H104" s="98"/>
      <c r="I104" s="98"/>
      <c r="J104" s="98"/>
      <c r="K104" s="98"/>
      <c r="L104" s="98"/>
      <c r="M104" s="98"/>
      <c r="N104" s="98"/>
      <c r="O104" s="98"/>
      <c r="P104" s="98"/>
      <c r="Q104" s="98"/>
      <c r="R104" s="98"/>
      <c r="S104" s="98"/>
      <c r="T104" s="98"/>
      <c r="U104" s="98"/>
    </row>
    <row r="105" spans="1:24" s="99" customFormat="1" x14ac:dyDescent="0.2">
      <c r="A105" s="98"/>
      <c r="B105" s="98"/>
      <c r="C105" s="98"/>
      <c r="D105" s="98"/>
      <c r="E105" s="98"/>
      <c r="F105" s="98"/>
      <c r="G105" s="98"/>
      <c r="H105" s="98"/>
      <c r="I105" s="98"/>
      <c r="J105" s="98"/>
      <c r="K105" s="98"/>
      <c r="L105" s="98"/>
      <c r="M105" s="98"/>
      <c r="N105" s="98"/>
      <c r="O105" s="98"/>
      <c r="P105" s="98"/>
      <c r="Q105" s="98"/>
      <c r="R105" s="98"/>
      <c r="S105" s="98"/>
      <c r="T105" s="98"/>
      <c r="U105" s="98"/>
    </row>
    <row r="106" spans="1:24" s="99" customFormat="1" x14ac:dyDescent="0.2">
      <c r="A106" s="98"/>
      <c r="B106" s="98"/>
      <c r="C106" s="98"/>
      <c r="D106" s="98"/>
      <c r="E106" s="98"/>
      <c r="F106" s="98"/>
      <c r="G106" s="98"/>
      <c r="H106" s="98"/>
      <c r="I106" s="98"/>
      <c r="J106" s="98"/>
      <c r="K106" s="98"/>
      <c r="L106" s="98"/>
      <c r="M106" s="98"/>
      <c r="N106" s="98"/>
      <c r="O106" s="98"/>
      <c r="P106" s="98"/>
      <c r="Q106" s="98"/>
      <c r="R106" s="98"/>
      <c r="S106" s="98"/>
      <c r="T106" s="98"/>
      <c r="U106" s="98"/>
    </row>
    <row r="107" spans="1:24" x14ac:dyDescent="0.2">
      <c r="B107" s="2"/>
      <c r="C107" s="2"/>
      <c r="D107" s="2"/>
      <c r="E107" s="2"/>
      <c r="F107" s="2"/>
      <c r="G107" s="2"/>
      <c r="M107" s="7"/>
      <c r="N107" s="44"/>
      <c r="O107" s="7"/>
      <c r="P107" s="7"/>
      <c r="Q107" s="7"/>
      <c r="R107" s="7"/>
      <c r="S107" s="7"/>
      <c r="T107" s="7"/>
    </row>
    <row r="108" spans="1:24" ht="18" customHeight="1" x14ac:dyDescent="0.2">
      <c r="A108" s="192" t="s">
        <v>49</v>
      </c>
      <c r="B108" s="193"/>
      <c r="C108" s="193"/>
      <c r="D108" s="193"/>
      <c r="E108" s="193"/>
      <c r="F108" s="193"/>
      <c r="G108" s="193"/>
      <c r="H108" s="193"/>
      <c r="I108" s="193"/>
      <c r="J108" s="193"/>
      <c r="K108" s="193"/>
      <c r="L108" s="193"/>
      <c r="M108" s="193"/>
      <c r="N108" s="193"/>
      <c r="O108" s="193"/>
      <c r="P108" s="193"/>
      <c r="Q108" s="193"/>
      <c r="R108" s="193"/>
      <c r="S108" s="193"/>
      <c r="T108" s="193"/>
      <c r="U108" s="194"/>
    </row>
    <row r="109" spans="1:24" ht="25.5" customHeight="1" x14ac:dyDescent="0.2">
      <c r="A109" s="195" t="s">
        <v>30</v>
      </c>
      <c r="B109" s="197" t="s">
        <v>29</v>
      </c>
      <c r="C109" s="198"/>
      <c r="D109" s="198"/>
      <c r="E109" s="198"/>
      <c r="F109" s="198"/>
      <c r="G109" s="198"/>
      <c r="H109" s="198"/>
      <c r="I109" s="199"/>
      <c r="J109" s="203" t="s">
        <v>43</v>
      </c>
      <c r="K109" s="188" t="s">
        <v>27</v>
      </c>
      <c r="L109" s="189"/>
      <c r="M109" s="189"/>
      <c r="N109" s="190"/>
      <c r="O109" s="254" t="s">
        <v>44</v>
      </c>
      <c r="P109" s="255"/>
      <c r="Q109" s="256"/>
      <c r="R109" s="254" t="s">
        <v>26</v>
      </c>
      <c r="S109" s="257"/>
      <c r="T109" s="258"/>
      <c r="U109" s="203" t="s">
        <v>25</v>
      </c>
    </row>
    <row r="110" spans="1:24" x14ac:dyDescent="0.2">
      <c r="A110" s="196"/>
      <c r="B110" s="200"/>
      <c r="C110" s="201"/>
      <c r="D110" s="201"/>
      <c r="E110" s="201"/>
      <c r="F110" s="201"/>
      <c r="G110" s="201"/>
      <c r="H110" s="201"/>
      <c r="I110" s="202"/>
      <c r="J110" s="204"/>
      <c r="K110" s="5" t="s">
        <v>31</v>
      </c>
      <c r="L110" s="5" t="s">
        <v>32</v>
      </c>
      <c r="M110" s="5" t="s">
        <v>33</v>
      </c>
      <c r="N110" s="49" t="s">
        <v>108</v>
      </c>
      <c r="O110" s="64" t="s">
        <v>37</v>
      </c>
      <c r="P110" s="64" t="s">
        <v>8</v>
      </c>
      <c r="Q110" s="64" t="s">
        <v>34</v>
      </c>
      <c r="R110" s="64" t="s">
        <v>35</v>
      </c>
      <c r="S110" s="64" t="s">
        <v>31</v>
      </c>
      <c r="T110" s="64" t="s">
        <v>36</v>
      </c>
      <c r="U110" s="204"/>
    </row>
    <row r="111" spans="1:24" x14ac:dyDescent="0.2">
      <c r="A111" s="38" t="s">
        <v>184</v>
      </c>
      <c r="B111" s="229" t="s">
        <v>185</v>
      </c>
      <c r="C111" s="230"/>
      <c r="D111" s="230"/>
      <c r="E111" s="230"/>
      <c r="F111" s="230"/>
      <c r="G111" s="230"/>
      <c r="H111" s="230"/>
      <c r="I111" s="231"/>
      <c r="J111" s="10">
        <v>5</v>
      </c>
      <c r="K111" s="10">
        <v>2</v>
      </c>
      <c r="L111" s="10">
        <v>0</v>
      </c>
      <c r="M111" s="10">
        <v>1</v>
      </c>
      <c r="N111" s="50">
        <v>0</v>
      </c>
      <c r="O111" s="51">
        <f>K111+L111+M111+N111</f>
        <v>3</v>
      </c>
      <c r="P111" s="51">
        <f>Q111-O111</f>
        <v>6</v>
      </c>
      <c r="Q111" s="51">
        <f>ROUND(PRODUCT(J111,25)/14,0)</f>
        <v>9</v>
      </c>
      <c r="R111" s="18" t="s">
        <v>35</v>
      </c>
      <c r="S111" s="10"/>
      <c r="T111" s="19"/>
      <c r="U111" s="10" t="s">
        <v>113</v>
      </c>
    </row>
    <row r="112" spans="1:24" x14ac:dyDescent="0.2">
      <c r="A112" s="38" t="s">
        <v>186</v>
      </c>
      <c r="B112" s="229" t="s">
        <v>187</v>
      </c>
      <c r="C112" s="230"/>
      <c r="D112" s="230"/>
      <c r="E112" s="230"/>
      <c r="F112" s="230"/>
      <c r="G112" s="230"/>
      <c r="H112" s="230"/>
      <c r="I112" s="231"/>
      <c r="J112" s="10">
        <v>5</v>
      </c>
      <c r="K112" s="10">
        <v>2</v>
      </c>
      <c r="L112" s="10">
        <v>2</v>
      </c>
      <c r="M112" s="10">
        <v>0</v>
      </c>
      <c r="N112" s="50">
        <v>0</v>
      </c>
      <c r="O112" s="51">
        <f t="shared" ref="O112:O116" si="20">K112+L112+M112+N112</f>
        <v>4</v>
      </c>
      <c r="P112" s="51">
        <f t="shared" ref="P112:P116" si="21">Q112-O112</f>
        <v>5</v>
      </c>
      <c r="Q112" s="51">
        <f t="shared" ref="Q112:Q116" si="22">ROUND(PRODUCT(J112,25)/14,0)</f>
        <v>9</v>
      </c>
      <c r="R112" s="18" t="s">
        <v>35</v>
      </c>
      <c r="S112" s="10"/>
      <c r="T112" s="19"/>
      <c r="U112" s="10" t="s">
        <v>40</v>
      </c>
    </row>
    <row r="113" spans="1:24" x14ac:dyDescent="0.2">
      <c r="A113" s="38" t="s">
        <v>188</v>
      </c>
      <c r="B113" s="229" t="s">
        <v>189</v>
      </c>
      <c r="C113" s="230"/>
      <c r="D113" s="230"/>
      <c r="E113" s="230"/>
      <c r="F113" s="230"/>
      <c r="G113" s="230"/>
      <c r="H113" s="230"/>
      <c r="I113" s="231"/>
      <c r="J113" s="10">
        <v>5</v>
      </c>
      <c r="K113" s="10">
        <v>2</v>
      </c>
      <c r="L113" s="10">
        <v>0</v>
      </c>
      <c r="M113" s="10">
        <v>2</v>
      </c>
      <c r="N113" s="50">
        <v>0</v>
      </c>
      <c r="O113" s="51">
        <f t="shared" si="20"/>
        <v>4</v>
      </c>
      <c r="P113" s="51">
        <f t="shared" si="21"/>
        <v>5</v>
      </c>
      <c r="Q113" s="51">
        <f t="shared" si="22"/>
        <v>9</v>
      </c>
      <c r="R113" s="18" t="s">
        <v>35</v>
      </c>
      <c r="S113" s="10"/>
      <c r="T113" s="19"/>
      <c r="U113" s="10" t="s">
        <v>41</v>
      </c>
    </row>
    <row r="114" spans="1:24" x14ac:dyDescent="0.2">
      <c r="A114" s="38" t="s">
        <v>190</v>
      </c>
      <c r="B114" s="271" t="s">
        <v>191</v>
      </c>
      <c r="C114" s="272"/>
      <c r="D114" s="272"/>
      <c r="E114" s="272"/>
      <c r="F114" s="272"/>
      <c r="G114" s="272"/>
      <c r="H114" s="272"/>
      <c r="I114" s="273"/>
      <c r="J114" s="10">
        <v>5</v>
      </c>
      <c r="K114" s="10">
        <v>1</v>
      </c>
      <c r="L114" s="10">
        <v>0</v>
      </c>
      <c r="M114" s="10">
        <v>2</v>
      </c>
      <c r="N114" s="50">
        <v>0</v>
      </c>
      <c r="O114" s="51">
        <f t="shared" si="20"/>
        <v>3</v>
      </c>
      <c r="P114" s="51">
        <f t="shared" si="21"/>
        <v>6</v>
      </c>
      <c r="Q114" s="51">
        <f t="shared" si="22"/>
        <v>9</v>
      </c>
      <c r="R114" s="18" t="s">
        <v>35</v>
      </c>
      <c r="S114" s="10"/>
      <c r="T114" s="19"/>
      <c r="U114" s="10" t="s">
        <v>41</v>
      </c>
    </row>
    <row r="115" spans="1:24" x14ac:dyDescent="0.2">
      <c r="A115" s="38" t="s">
        <v>192</v>
      </c>
      <c r="B115" s="229" t="s">
        <v>193</v>
      </c>
      <c r="C115" s="230"/>
      <c r="D115" s="230"/>
      <c r="E115" s="230"/>
      <c r="F115" s="230"/>
      <c r="G115" s="230"/>
      <c r="H115" s="230"/>
      <c r="I115" s="231"/>
      <c r="J115" s="10">
        <v>5</v>
      </c>
      <c r="K115" s="10">
        <v>1</v>
      </c>
      <c r="L115" s="10">
        <v>0</v>
      </c>
      <c r="M115" s="10">
        <v>2</v>
      </c>
      <c r="N115" s="50">
        <v>0</v>
      </c>
      <c r="O115" s="51">
        <f t="shared" si="20"/>
        <v>3</v>
      </c>
      <c r="P115" s="51">
        <f t="shared" si="21"/>
        <v>6</v>
      </c>
      <c r="Q115" s="51">
        <f t="shared" si="22"/>
        <v>9</v>
      </c>
      <c r="R115" s="18" t="s">
        <v>35</v>
      </c>
      <c r="S115" s="10"/>
      <c r="T115" s="19"/>
      <c r="U115" s="10" t="s">
        <v>41</v>
      </c>
    </row>
    <row r="116" spans="1:24" x14ac:dyDescent="0.2">
      <c r="A116" s="38" t="s">
        <v>194</v>
      </c>
      <c r="B116" s="229" t="s">
        <v>195</v>
      </c>
      <c r="C116" s="230"/>
      <c r="D116" s="230"/>
      <c r="E116" s="230"/>
      <c r="F116" s="230"/>
      <c r="G116" s="230"/>
      <c r="H116" s="230"/>
      <c r="I116" s="231"/>
      <c r="J116" s="10">
        <v>5</v>
      </c>
      <c r="K116" s="10">
        <v>2</v>
      </c>
      <c r="L116" s="10">
        <v>2</v>
      </c>
      <c r="M116" s="10">
        <v>0</v>
      </c>
      <c r="N116" s="50">
        <v>0</v>
      </c>
      <c r="O116" s="51">
        <f t="shared" si="20"/>
        <v>4</v>
      </c>
      <c r="P116" s="51">
        <f t="shared" si="21"/>
        <v>5</v>
      </c>
      <c r="Q116" s="51">
        <f t="shared" si="22"/>
        <v>9</v>
      </c>
      <c r="R116" s="18" t="s">
        <v>35</v>
      </c>
      <c r="S116" s="10"/>
      <c r="T116" s="19"/>
      <c r="U116" s="10" t="s">
        <v>41</v>
      </c>
    </row>
    <row r="117" spans="1:24" x14ac:dyDescent="0.2">
      <c r="A117" s="16" t="s">
        <v>28</v>
      </c>
      <c r="B117" s="132"/>
      <c r="C117" s="133"/>
      <c r="D117" s="133"/>
      <c r="E117" s="133"/>
      <c r="F117" s="133"/>
      <c r="G117" s="133"/>
      <c r="H117" s="133"/>
      <c r="I117" s="134"/>
      <c r="J117" s="16">
        <f t="shared" ref="J117:Q117" si="23">SUM(J111:J116)</f>
        <v>30</v>
      </c>
      <c r="K117" s="16">
        <f t="shared" si="23"/>
        <v>10</v>
      </c>
      <c r="L117" s="16">
        <f t="shared" si="23"/>
        <v>4</v>
      </c>
      <c r="M117" s="16">
        <f t="shared" si="23"/>
        <v>7</v>
      </c>
      <c r="N117" s="53">
        <f t="shared" si="23"/>
        <v>0</v>
      </c>
      <c r="O117" s="53">
        <f t="shared" si="23"/>
        <v>21</v>
      </c>
      <c r="P117" s="53">
        <f t="shared" si="23"/>
        <v>33</v>
      </c>
      <c r="Q117" s="53">
        <f t="shared" si="23"/>
        <v>54</v>
      </c>
      <c r="R117" s="16">
        <f>COUNTIF(R111:R116,"E")</f>
        <v>6</v>
      </c>
      <c r="S117" s="16">
        <f>COUNTIF(S111:S116,"C")</f>
        <v>0</v>
      </c>
      <c r="T117" s="16">
        <f>COUNTIF(T111:T116,"VP")</f>
        <v>0</v>
      </c>
      <c r="U117" s="39">
        <f>COUNTA(U111:U116)</f>
        <v>6</v>
      </c>
      <c r="V117" s="279" t="str">
        <f>IF(R117&gt;=SUM(S117:T117),"Corect","E trebuie să fie cel puțin egal cu C+VP")</f>
        <v>Corect</v>
      </c>
      <c r="W117" s="280"/>
      <c r="X117" s="280"/>
    </row>
    <row r="118" spans="1:24" s="103" customFormat="1" x14ac:dyDescent="0.2">
      <c r="A118" s="69"/>
      <c r="B118" s="69"/>
      <c r="C118" s="69"/>
      <c r="D118" s="69"/>
      <c r="E118" s="69"/>
      <c r="F118" s="69"/>
      <c r="G118" s="69"/>
      <c r="H118" s="69"/>
      <c r="I118" s="69"/>
      <c r="J118" s="69"/>
      <c r="K118" s="69"/>
      <c r="L118" s="69"/>
      <c r="M118" s="69"/>
      <c r="N118" s="70"/>
      <c r="O118" s="70"/>
      <c r="P118" s="70"/>
      <c r="Q118" s="70"/>
      <c r="R118" s="69"/>
      <c r="S118" s="69"/>
      <c r="T118" s="69"/>
      <c r="U118" s="71"/>
      <c r="V118" s="104"/>
    </row>
    <row r="119" spans="1:24" s="103" customFormat="1" x14ac:dyDescent="0.2">
      <c r="A119" s="69"/>
      <c r="B119" s="69"/>
      <c r="C119" s="69"/>
      <c r="D119" s="69"/>
      <c r="E119" s="69"/>
      <c r="F119" s="69"/>
      <c r="G119" s="69"/>
      <c r="H119" s="69"/>
      <c r="I119" s="69"/>
      <c r="J119" s="69"/>
      <c r="K119" s="69"/>
      <c r="L119" s="69"/>
      <c r="M119" s="69"/>
      <c r="N119" s="70"/>
      <c r="O119" s="70"/>
      <c r="P119" s="70"/>
      <c r="Q119" s="70"/>
      <c r="R119" s="69"/>
      <c r="S119" s="69"/>
      <c r="T119" s="69"/>
      <c r="U119" s="71"/>
      <c r="V119" s="104"/>
    </row>
    <row r="120" spans="1:24" s="103" customFormat="1" x14ac:dyDescent="0.2">
      <c r="A120" s="69"/>
      <c r="B120" s="69"/>
      <c r="C120" s="69"/>
      <c r="D120" s="69"/>
      <c r="E120" s="69"/>
      <c r="F120" s="69"/>
      <c r="G120" s="69"/>
      <c r="H120" s="69"/>
      <c r="I120" s="69"/>
      <c r="J120" s="69"/>
      <c r="K120" s="69"/>
      <c r="L120" s="69"/>
      <c r="M120" s="69"/>
      <c r="N120" s="70"/>
      <c r="O120" s="70"/>
      <c r="P120" s="70"/>
      <c r="Q120" s="70"/>
      <c r="R120" s="69"/>
      <c r="S120" s="69"/>
      <c r="T120" s="69"/>
      <c r="U120" s="71"/>
      <c r="V120" s="104"/>
    </row>
    <row r="122" spans="1:24" ht="19.5" customHeight="1" x14ac:dyDescent="0.2">
      <c r="A122" s="192" t="s">
        <v>50</v>
      </c>
      <c r="B122" s="193"/>
      <c r="C122" s="193"/>
      <c r="D122" s="193"/>
      <c r="E122" s="193"/>
      <c r="F122" s="193"/>
      <c r="G122" s="193"/>
      <c r="H122" s="193"/>
      <c r="I122" s="193"/>
      <c r="J122" s="193"/>
      <c r="K122" s="193"/>
      <c r="L122" s="193"/>
      <c r="M122" s="193"/>
      <c r="N122" s="193"/>
      <c r="O122" s="193"/>
      <c r="P122" s="193"/>
      <c r="Q122" s="193"/>
      <c r="R122" s="193"/>
      <c r="S122" s="193"/>
      <c r="T122" s="193"/>
      <c r="U122" s="194"/>
    </row>
    <row r="123" spans="1:24" ht="25.5" customHeight="1" x14ac:dyDescent="0.2">
      <c r="A123" s="195" t="s">
        <v>30</v>
      </c>
      <c r="B123" s="197" t="s">
        <v>29</v>
      </c>
      <c r="C123" s="198"/>
      <c r="D123" s="198"/>
      <c r="E123" s="198"/>
      <c r="F123" s="198"/>
      <c r="G123" s="198"/>
      <c r="H123" s="198"/>
      <c r="I123" s="199"/>
      <c r="J123" s="203" t="s">
        <v>43</v>
      </c>
      <c r="K123" s="188" t="s">
        <v>27</v>
      </c>
      <c r="L123" s="189"/>
      <c r="M123" s="189"/>
      <c r="N123" s="190"/>
      <c r="O123" s="254" t="s">
        <v>44</v>
      </c>
      <c r="P123" s="255"/>
      <c r="Q123" s="256"/>
      <c r="R123" s="254" t="s">
        <v>26</v>
      </c>
      <c r="S123" s="257"/>
      <c r="T123" s="258"/>
      <c r="U123" s="203" t="s">
        <v>25</v>
      </c>
    </row>
    <row r="124" spans="1:24" x14ac:dyDescent="0.2">
      <c r="A124" s="196"/>
      <c r="B124" s="200"/>
      <c r="C124" s="201"/>
      <c r="D124" s="201"/>
      <c r="E124" s="201"/>
      <c r="F124" s="201"/>
      <c r="G124" s="201"/>
      <c r="H124" s="201"/>
      <c r="I124" s="202"/>
      <c r="J124" s="204"/>
      <c r="K124" s="5" t="s">
        <v>31</v>
      </c>
      <c r="L124" s="5" t="s">
        <v>32</v>
      </c>
      <c r="M124" s="5" t="s">
        <v>33</v>
      </c>
      <c r="N124" s="49" t="s">
        <v>108</v>
      </c>
      <c r="O124" s="64" t="s">
        <v>37</v>
      </c>
      <c r="P124" s="64" t="s">
        <v>8</v>
      </c>
      <c r="Q124" s="64" t="s">
        <v>34</v>
      </c>
      <c r="R124" s="64" t="s">
        <v>35</v>
      </c>
      <c r="S124" s="64" t="s">
        <v>31</v>
      </c>
      <c r="T124" s="64" t="s">
        <v>36</v>
      </c>
      <c r="U124" s="204"/>
    </row>
    <row r="125" spans="1:24" x14ac:dyDescent="0.2">
      <c r="A125" s="38" t="s">
        <v>196</v>
      </c>
      <c r="B125" s="229" t="s">
        <v>197</v>
      </c>
      <c r="C125" s="230"/>
      <c r="D125" s="230"/>
      <c r="E125" s="230"/>
      <c r="F125" s="230"/>
      <c r="G125" s="230"/>
      <c r="H125" s="230"/>
      <c r="I125" s="231"/>
      <c r="J125" s="10">
        <v>6</v>
      </c>
      <c r="K125" s="10">
        <v>2</v>
      </c>
      <c r="L125" s="10">
        <v>2</v>
      </c>
      <c r="M125" s="10">
        <v>0</v>
      </c>
      <c r="N125" s="50">
        <v>0</v>
      </c>
      <c r="O125" s="51">
        <f>K125+L125+M125+N125</f>
        <v>4</v>
      </c>
      <c r="P125" s="51">
        <f>Q125-O125</f>
        <v>9</v>
      </c>
      <c r="Q125" s="51">
        <f>ROUND(PRODUCT(J125,25)/12,0)</f>
        <v>13</v>
      </c>
      <c r="R125" s="18" t="s">
        <v>35</v>
      </c>
      <c r="S125" s="10"/>
      <c r="T125" s="19"/>
      <c r="U125" s="10" t="s">
        <v>113</v>
      </c>
    </row>
    <row r="126" spans="1:24" x14ac:dyDescent="0.2">
      <c r="A126" s="38" t="s">
        <v>198</v>
      </c>
      <c r="B126" s="229" t="s">
        <v>199</v>
      </c>
      <c r="C126" s="230"/>
      <c r="D126" s="230"/>
      <c r="E126" s="230"/>
      <c r="F126" s="230"/>
      <c r="G126" s="230"/>
      <c r="H126" s="230"/>
      <c r="I126" s="231"/>
      <c r="J126" s="10">
        <v>5</v>
      </c>
      <c r="K126" s="10">
        <v>1</v>
      </c>
      <c r="L126" s="10">
        <v>0</v>
      </c>
      <c r="M126" s="10">
        <v>3</v>
      </c>
      <c r="N126" s="50">
        <v>0</v>
      </c>
      <c r="O126" s="51">
        <f t="shared" ref="O126:O130" si="24">K126+L126+M126+N126</f>
        <v>4</v>
      </c>
      <c r="P126" s="51">
        <f t="shared" ref="P126:P130" si="25">Q126-O126</f>
        <v>6</v>
      </c>
      <c r="Q126" s="51">
        <f t="shared" ref="Q126:Q130" si="26">ROUND(PRODUCT(J126,25)/12,0)</f>
        <v>10</v>
      </c>
      <c r="R126" s="18"/>
      <c r="S126" s="10"/>
      <c r="T126" s="19" t="s">
        <v>36</v>
      </c>
      <c r="U126" s="10" t="s">
        <v>113</v>
      </c>
    </row>
    <row r="127" spans="1:24" x14ac:dyDescent="0.2">
      <c r="A127" s="38" t="s">
        <v>200</v>
      </c>
      <c r="B127" s="229" t="s">
        <v>201</v>
      </c>
      <c r="C127" s="230"/>
      <c r="D127" s="230"/>
      <c r="E127" s="230"/>
      <c r="F127" s="230"/>
      <c r="G127" s="230"/>
      <c r="H127" s="230"/>
      <c r="I127" s="231"/>
      <c r="J127" s="10">
        <v>6</v>
      </c>
      <c r="K127" s="10">
        <v>2</v>
      </c>
      <c r="L127" s="10">
        <v>0</v>
      </c>
      <c r="M127" s="10">
        <v>3</v>
      </c>
      <c r="N127" s="50">
        <v>0</v>
      </c>
      <c r="O127" s="51">
        <f t="shared" si="24"/>
        <v>5</v>
      </c>
      <c r="P127" s="51">
        <f t="shared" si="25"/>
        <v>8</v>
      </c>
      <c r="Q127" s="51">
        <f t="shared" si="26"/>
        <v>13</v>
      </c>
      <c r="R127" s="18" t="s">
        <v>35</v>
      </c>
      <c r="S127" s="10"/>
      <c r="T127" s="19"/>
      <c r="U127" s="10" t="s">
        <v>113</v>
      </c>
    </row>
    <row r="128" spans="1:24" x14ac:dyDescent="0.2">
      <c r="A128" s="38" t="s">
        <v>202</v>
      </c>
      <c r="B128" s="229" t="s">
        <v>203</v>
      </c>
      <c r="C128" s="230"/>
      <c r="D128" s="230"/>
      <c r="E128" s="230"/>
      <c r="F128" s="230"/>
      <c r="G128" s="230"/>
      <c r="H128" s="230"/>
      <c r="I128" s="231"/>
      <c r="J128" s="10">
        <v>5</v>
      </c>
      <c r="K128" s="10">
        <v>2</v>
      </c>
      <c r="L128" s="10">
        <v>0</v>
      </c>
      <c r="M128" s="10">
        <v>2</v>
      </c>
      <c r="N128" s="50">
        <v>0</v>
      </c>
      <c r="O128" s="51">
        <f t="shared" si="24"/>
        <v>4</v>
      </c>
      <c r="P128" s="51">
        <f t="shared" si="25"/>
        <v>6</v>
      </c>
      <c r="Q128" s="51">
        <f t="shared" si="26"/>
        <v>10</v>
      </c>
      <c r="R128" s="18" t="s">
        <v>35</v>
      </c>
      <c r="S128" s="10"/>
      <c r="T128" s="19"/>
      <c r="U128" s="10" t="s">
        <v>41</v>
      </c>
    </row>
    <row r="129" spans="1:26" x14ac:dyDescent="0.2">
      <c r="A129" s="38" t="s">
        <v>204</v>
      </c>
      <c r="B129" s="229" t="s">
        <v>205</v>
      </c>
      <c r="C129" s="230"/>
      <c r="D129" s="230"/>
      <c r="E129" s="230"/>
      <c r="F129" s="230"/>
      <c r="G129" s="230"/>
      <c r="H129" s="230"/>
      <c r="I129" s="231"/>
      <c r="J129" s="10">
        <v>5</v>
      </c>
      <c r="K129" s="10">
        <v>1</v>
      </c>
      <c r="L129" s="10">
        <v>0</v>
      </c>
      <c r="M129" s="10">
        <v>3</v>
      </c>
      <c r="N129" s="50">
        <v>0.5</v>
      </c>
      <c r="O129" s="51">
        <f t="shared" si="24"/>
        <v>4.5</v>
      </c>
      <c r="P129" s="51">
        <f t="shared" si="25"/>
        <v>5.5</v>
      </c>
      <c r="Q129" s="51">
        <f t="shared" si="26"/>
        <v>10</v>
      </c>
      <c r="R129" s="18" t="s">
        <v>35</v>
      </c>
      <c r="S129" s="10"/>
      <c r="T129" s="19"/>
      <c r="U129" s="10" t="s">
        <v>41</v>
      </c>
    </row>
    <row r="130" spans="1:26" x14ac:dyDescent="0.2">
      <c r="A130" s="38" t="s">
        <v>206</v>
      </c>
      <c r="B130" s="229" t="s">
        <v>207</v>
      </c>
      <c r="C130" s="230"/>
      <c r="D130" s="230"/>
      <c r="E130" s="230"/>
      <c r="F130" s="230"/>
      <c r="G130" s="230"/>
      <c r="H130" s="230"/>
      <c r="I130" s="231"/>
      <c r="J130" s="10">
        <v>3</v>
      </c>
      <c r="K130" s="10">
        <v>0</v>
      </c>
      <c r="L130" s="10">
        <v>0</v>
      </c>
      <c r="M130" s="10">
        <v>0</v>
      </c>
      <c r="N130" s="50">
        <v>0</v>
      </c>
      <c r="O130" s="51">
        <f t="shared" si="24"/>
        <v>0</v>
      </c>
      <c r="P130" s="51">
        <f t="shared" si="25"/>
        <v>6</v>
      </c>
      <c r="Q130" s="51">
        <f t="shared" si="26"/>
        <v>6</v>
      </c>
      <c r="R130" s="18"/>
      <c r="S130" s="10" t="s">
        <v>31</v>
      </c>
      <c r="T130" s="19"/>
      <c r="U130" s="10" t="s">
        <v>41</v>
      </c>
    </row>
    <row r="131" spans="1:26" x14ac:dyDescent="0.2">
      <c r="A131" s="16" t="s">
        <v>28</v>
      </c>
      <c r="B131" s="132"/>
      <c r="C131" s="133"/>
      <c r="D131" s="133"/>
      <c r="E131" s="133"/>
      <c r="F131" s="133"/>
      <c r="G131" s="133"/>
      <c r="H131" s="133"/>
      <c r="I131" s="134"/>
      <c r="J131" s="16">
        <f t="shared" ref="J131:Q131" si="27">SUM(J125:J130)</f>
        <v>30</v>
      </c>
      <c r="K131" s="16">
        <f t="shared" si="27"/>
        <v>8</v>
      </c>
      <c r="L131" s="16">
        <f t="shared" si="27"/>
        <v>2</v>
      </c>
      <c r="M131" s="16">
        <f t="shared" si="27"/>
        <v>11</v>
      </c>
      <c r="N131" s="53">
        <f t="shared" si="27"/>
        <v>0.5</v>
      </c>
      <c r="O131" s="53">
        <f t="shared" si="27"/>
        <v>21.5</v>
      </c>
      <c r="P131" s="53">
        <f t="shared" si="27"/>
        <v>40.5</v>
      </c>
      <c r="Q131" s="53">
        <f t="shared" si="27"/>
        <v>62</v>
      </c>
      <c r="R131" s="16">
        <f>COUNTIF(R125:R130,"E")</f>
        <v>4</v>
      </c>
      <c r="S131" s="16">
        <f>COUNTIF(S125:S130,"C")</f>
        <v>1</v>
      </c>
      <c r="T131" s="16">
        <f>COUNTIF(T125:T130,"VP")</f>
        <v>1</v>
      </c>
      <c r="U131" s="39">
        <f>COUNTA(U125:U130)</f>
        <v>6</v>
      </c>
      <c r="V131" s="279" t="str">
        <f>IF(R131&gt;=SUM(S131:T131),"Corect","E trebuie să fie cel puțin egal cu C+VP")</f>
        <v>Corect</v>
      </c>
      <c r="W131" s="280"/>
      <c r="X131" s="280"/>
    </row>
    <row r="132" spans="1:26" s="103" customFormat="1" x14ac:dyDescent="0.2">
      <c r="A132" s="69"/>
      <c r="B132" s="69"/>
      <c r="C132" s="69"/>
      <c r="D132" s="69"/>
      <c r="E132" s="69"/>
      <c r="F132" s="69"/>
      <c r="G132" s="69"/>
      <c r="H132" s="69"/>
      <c r="I132" s="69"/>
      <c r="J132" s="69"/>
      <c r="K132" s="69"/>
      <c r="L132" s="69"/>
      <c r="M132" s="69"/>
      <c r="N132" s="70"/>
      <c r="O132" s="70"/>
      <c r="P132" s="70"/>
      <c r="Q132" s="70"/>
      <c r="R132" s="69"/>
      <c r="S132" s="69"/>
      <c r="T132" s="69"/>
      <c r="U132" s="71"/>
      <c r="V132" s="104"/>
    </row>
    <row r="133" spans="1:26" s="103" customFormat="1" x14ac:dyDescent="0.2">
      <c r="A133" s="69"/>
      <c r="B133" s="69"/>
      <c r="C133" s="69"/>
      <c r="D133" s="69"/>
      <c r="E133" s="69"/>
      <c r="F133" s="69"/>
      <c r="G133" s="69"/>
      <c r="H133" s="69"/>
      <c r="I133" s="69"/>
      <c r="J133" s="69"/>
      <c r="K133" s="69"/>
      <c r="L133" s="69"/>
      <c r="M133" s="69"/>
      <c r="N133" s="70"/>
      <c r="O133" s="70"/>
      <c r="P133" s="70"/>
      <c r="Q133" s="70"/>
      <c r="R133" s="69"/>
      <c r="S133" s="69"/>
      <c r="T133" s="69"/>
      <c r="U133" s="71"/>
      <c r="V133" s="104"/>
    </row>
    <row r="134" spans="1:26" s="103" customFormat="1" x14ac:dyDescent="0.2">
      <c r="A134" s="69"/>
      <c r="B134" s="69"/>
      <c r="C134" s="69"/>
      <c r="D134" s="69"/>
      <c r="E134" s="69"/>
      <c r="F134" s="69"/>
      <c r="G134" s="69"/>
      <c r="H134" s="69"/>
      <c r="I134" s="69"/>
      <c r="J134" s="69"/>
      <c r="K134" s="69"/>
      <c r="L134" s="69"/>
      <c r="M134" s="69"/>
      <c r="N134" s="70"/>
      <c r="O134" s="70"/>
      <c r="P134" s="70"/>
      <c r="Q134" s="70"/>
      <c r="R134" s="69"/>
      <c r="S134" s="69"/>
      <c r="T134" s="69"/>
      <c r="U134" s="71"/>
      <c r="V134" s="104"/>
    </row>
    <row r="135" spans="1:26" s="103" customFormat="1" x14ac:dyDescent="0.2">
      <c r="A135" s="69"/>
      <c r="B135" s="69"/>
      <c r="C135" s="69"/>
      <c r="D135" s="69"/>
      <c r="E135" s="69"/>
      <c r="F135" s="69"/>
      <c r="G135" s="69"/>
      <c r="H135" s="69"/>
      <c r="I135" s="69"/>
      <c r="J135" s="69"/>
      <c r="K135" s="69"/>
      <c r="L135" s="69"/>
      <c r="M135" s="69"/>
      <c r="N135" s="70"/>
      <c r="O135" s="70"/>
      <c r="P135" s="70"/>
      <c r="Q135" s="70"/>
      <c r="R135" s="69"/>
      <c r="S135" s="69"/>
      <c r="T135" s="69"/>
      <c r="U135" s="71"/>
      <c r="V135" s="104"/>
    </row>
    <row r="136" spans="1:26" s="103" customFormat="1" x14ac:dyDescent="0.2">
      <c r="A136" s="69"/>
      <c r="B136" s="69"/>
      <c r="C136" s="69"/>
      <c r="D136" s="69"/>
      <c r="E136" s="69"/>
      <c r="F136" s="69"/>
      <c r="G136" s="69"/>
      <c r="H136" s="69"/>
      <c r="I136" s="69"/>
      <c r="J136" s="69"/>
      <c r="K136" s="69"/>
      <c r="L136" s="69"/>
      <c r="M136" s="69"/>
      <c r="N136" s="70"/>
      <c r="O136" s="70"/>
      <c r="P136" s="70"/>
      <c r="Q136" s="70"/>
      <c r="R136" s="69"/>
      <c r="S136" s="69"/>
      <c r="T136" s="69"/>
      <c r="U136" s="71"/>
      <c r="V136" s="104"/>
    </row>
    <row r="137" spans="1:26" s="103" customFormat="1" x14ac:dyDescent="0.2">
      <c r="A137" s="69"/>
      <c r="B137" s="69"/>
      <c r="C137" s="69"/>
      <c r="D137" s="69"/>
      <c r="E137" s="69"/>
      <c r="F137" s="69"/>
      <c r="G137" s="69"/>
      <c r="H137" s="69"/>
      <c r="I137" s="69"/>
      <c r="J137" s="69"/>
      <c r="K137" s="69"/>
      <c r="L137" s="69"/>
      <c r="M137" s="69"/>
      <c r="N137" s="70"/>
      <c r="O137" s="70"/>
      <c r="P137" s="70"/>
      <c r="Q137" s="70"/>
      <c r="R137" s="69"/>
      <c r="S137" s="69"/>
      <c r="T137" s="69"/>
      <c r="U137" s="71"/>
      <c r="V137" s="104"/>
    </row>
    <row r="138" spans="1:26" s="103" customFormat="1" x14ac:dyDescent="0.2">
      <c r="A138" s="69"/>
      <c r="B138" s="69"/>
      <c r="C138" s="69"/>
      <c r="D138" s="69"/>
      <c r="E138" s="69"/>
      <c r="F138" s="69"/>
      <c r="G138" s="69"/>
      <c r="H138" s="69"/>
      <c r="I138" s="69"/>
      <c r="J138" s="69"/>
      <c r="K138" s="69"/>
      <c r="L138" s="69"/>
      <c r="M138" s="69"/>
      <c r="N138" s="70"/>
      <c r="O138" s="70"/>
      <c r="P138" s="70"/>
      <c r="Q138" s="70"/>
      <c r="R138" s="69"/>
      <c r="S138" s="69"/>
      <c r="T138" s="69"/>
      <c r="U138" s="71"/>
      <c r="V138" s="104"/>
    </row>
    <row r="139" spans="1:26" s="103" customFormat="1" x14ac:dyDescent="0.2">
      <c r="A139" s="69"/>
      <c r="B139" s="69"/>
      <c r="C139" s="69"/>
      <c r="D139" s="69"/>
      <c r="E139" s="69"/>
      <c r="F139" s="69"/>
      <c r="G139" s="69"/>
      <c r="H139" s="69"/>
      <c r="I139" s="69"/>
      <c r="J139" s="69"/>
      <c r="K139" s="69"/>
      <c r="L139" s="69"/>
      <c r="M139" s="69"/>
      <c r="N139" s="70"/>
      <c r="O139" s="70"/>
      <c r="P139" s="70"/>
      <c r="Q139" s="70"/>
      <c r="R139" s="69"/>
      <c r="S139" s="69"/>
      <c r="T139" s="69"/>
      <c r="U139" s="71"/>
      <c r="V139" s="104"/>
    </row>
    <row r="140" spans="1:26" s="103" customFormat="1" x14ac:dyDescent="0.2">
      <c r="A140" s="69"/>
      <c r="B140" s="69"/>
      <c r="C140" s="69"/>
      <c r="D140" s="69"/>
      <c r="E140" s="69"/>
      <c r="F140" s="69"/>
      <c r="G140" s="69"/>
      <c r="H140" s="69"/>
      <c r="I140" s="69"/>
      <c r="J140" s="69"/>
      <c r="K140" s="69"/>
      <c r="L140" s="69"/>
      <c r="M140" s="69"/>
      <c r="N140" s="70"/>
      <c r="O140" s="70"/>
      <c r="P140" s="70"/>
      <c r="Q140" s="70"/>
      <c r="R140" s="69"/>
      <c r="S140" s="69"/>
      <c r="T140" s="69"/>
      <c r="U140" s="71"/>
      <c r="V140" s="104"/>
    </row>
    <row r="141" spans="1:26" s="103" customFormat="1" x14ac:dyDescent="0.2">
      <c r="A141" s="69"/>
      <c r="B141" s="69"/>
      <c r="C141" s="69"/>
      <c r="D141" s="69"/>
      <c r="E141" s="69"/>
      <c r="F141" s="69"/>
      <c r="G141" s="69"/>
      <c r="H141" s="69"/>
      <c r="I141" s="69"/>
      <c r="J141" s="69"/>
      <c r="K141" s="69"/>
      <c r="L141" s="69"/>
      <c r="M141" s="69"/>
      <c r="N141" s="70"/>
      <c r="O141" s="70"/>
      <c r="P141" s="70"/>
      <c r="Q141" s="70"/>
      <c r="R141" s="69"/>
      <c r="S141" s="69"/>
      <c r="T141" s="69"/>
      <c r="U141" s="71"/>
      <c r="V141" s="104"/>
    </row>
    <row r="142" spans="1:26" s="103" customFormat="1" x14ac:dyDescent="0.2">
      <c r="A142" s="69"/>
      <c r="B142" s="69"/>
      <c r="C142" s="69"/>
      <c r="D142" s="69"/>
      <c r="E142" s="69"/>
      <c r="F142" s="69"/>
      <c r="G142" s="69"/>
      <c r="H142" s="69"/>
      <c r="I142" s="69"/>
      <c r="J142" s="69"/>
      <c r="K142" s="69"/>
      <c r="L142" s="69"/>
      <c r="M142" s="69"/>
      <c r="N142" s="70"/>
      <c r="O142" s="70"/>
      <c r="P142" s="70"/>
      <c r="Q142" s="70"/>
      <c r="R142" s="69"/>
      <c r="S142" s="69"/>
      <c r="T142" s="69"/>
      <c r="U142" s="71"/>
      <c r="V142" s="104"/>
    </row>
    <row r="144" spans="1:26" ht="19.5" customHeight="1" x14ac:dyDescent="0.2">
      <c r="A144" s="192" t="s">
        <v>51</v>
      </c>
      <c r="B144" s="193"/>
      <c r="C144" s="193"/>
      <c r="D144" s="193"/>
      <c r="E144" s="193"/>
      <c r="F144" s="193"/>
      <c r="G144" s="193"/>
      <c r="H144" s="193"/>
      <c r="I144" s="193"/>
      <c r="J144" s="193"/>
      <c r="K144" s="193"/>
      <c r="L144" s="193"/>
      <c r="M144" s="193"/>
      <c r="N144" s="193"/>
      <c r="O144" s="193"/>
      <c r="P144" s="193"/>
      <c r="Q144" s="193"/>
      <c r="R144" s="193"/>
      <c r="S144" s="193"/>
      <c r="T144" s="193"/>
      <c r="U144" s="193"/>
      <c r="V144" s="65"/>
      <c r="W144" s="65"/>
      <c r="X144" s="65"/>
      <c r="Y144" s="65"/>
      <c r="Z144" s="65"/>
    </row>
    <row r="145" spans="1:26" x14ac:dyDescent="0.2">
      <c r="A145" s="236" t="s">
        <v>30</v>
      </c>
      <c r="B145" s="236" t="s">
        <v>29</v>
      </c>
      <c r="C145" s="236"/>
      <c r="D145" s="236"/>
      <c r="E145" s="236"/>
      <c r="F145" s="236"/>
      <c r="G145" s="236"/>
      <c r="H145" s="236"/>
      <c r="I145" s="236"/>
      <c r="J145" s="205" t="s">
        <v>43</v>
      </c>
      <c r="K145" s="205" t="s">
        <v>27</v>
      </c>
      <c r="L145" s="205"/>
      <c r="M145" s="205"/>
      <c r="N145" s="205"/>
      <c r="O145" s="205" t="s">
        <v>44</v>
      </c>
      <c r="P145" s="206"/>
      <c r="Q145" s="206"/>
      <c r="R145" s="205" t="s">
        <v>26</v>
      </c>
      <c r="S145" s="205"/>
      <c r="T145" s="205"/>
      <c r="U145" s="205" t="s">
        <v>25</v>
      </c>
      <c r="V145" s="65"/>
      <c r="W145" s="65"/>
      <c r="X145" s="65"/>
      <c r="Y145" s="65"/>
      <c r="Z145" s="65"/>
    </row>
    <row r="146" spans="1:26" x14ac:dyDescent="0.2">
      <c r="A146" s="236"/>
      <c r="B146" s="236"/>
      <c r="C146" s="236"/>
      <c r="D146" s="236"/>
      <c r="E146" s="236"/>
      <c r="F146" s="236"/>
      <c r="G146" s="236"/>
      <c r="H146" s="236"/>
      <c r="I146" s="236"/>
      <c r="J146" s="205"/>
      <c r="K146" s="64" t="s">
        <v>31</v>
      </c>
      <c r="L146" s="64" t="s">
        <v>32</v>
      </c>
      <c r="M146" s="64" t="s">
        <v>33</v>
      </c>
      <c r="N146" s="64" t="s">
        <v>108</v>
      </c>
      <c r="O146" s="64" t="s">
        <v>37</v>
      </c>
      <c r="P146" s="64" t="s">
        <v>8</v>
      </c>
      <c r="Q146" s="64" t="s">
        <v>34</v>
      </c>
      <c r="R146" s="64" t="s">
        <v>35</v>
      </c>
      <c r="S146" s="64" t="s">
        <v>31</v>
      </c>
      <c r="T146" s="64" t="s">
        <v>36</v>
      </c>
      <c r="U146" s="205"/>
      <c r="V146" s="65"/>
      <c r="W146" s="65"/>
      <c r="X146" s="65"/>
      <c r="Y146" s="65"/>
      <c r="Z146" s="65"/>
    </row>
    <row r="147" spans="1:26" x14ac:dyDescent="0.2">
      <c r="A147" s="77" t="s">
        <v>224</v>
      </c>
      <c r="B147" s="227" t="s">
        <v>104</v>
      </c>
      <c r="C147" s="227"/>
      <c r="D147" s="227"/>
      <c r="E147" s="227"/>
      <c r="F147" s="227"/>
      <c r="G147" s="227"/>
      <c r="H147" s="227"/>
      <c r="I147" s="227"/>
      <c r="J147" s="227"/>
      <c r="K147" s="227"/>
      <c r="L147" s="227"/>
      <c r="M147" s="227"/>
      <c r="N147" s="227"/>
      <c r="O147" s="227"/>
      <c r="P147" s="227"/>
      <c r="Q147" s="227"/>
      <c r="R147" s="227"/>
      <c r="S147" s="227"/>
      <c r="T147" s="227"/>
      <c r="U147" s="227"/>
      <c r="V147" s="83"/>
      <c r="W147" s="83"/>
      <c r="X147" s="83"/>
      <c r="Y147" s="83"/>
      <c r="Z147" s="83"/>
    </row>
    <row r="148" spans="1:26" x14ac:dyDescent="0.2">
      <c r="A148" s="95" t="s">
        <v>208</v>
      </c>
      <c r="B148" s="228" t="s">
        <v>209</v>
      </c>
      <c r="C148" s="180"/>
      <c r="D148" s="180"/>
      <c r="E148" s="180"/>
      <c r="F148" s="180"/>
      <c r="G148" s="180"/>
      <c r="H148" s="180"/>
      <c r="I148" s="181"/>
      <c r="J148" s="20">
        <v>4</v>
      </c>
      <c r="K148" s="20">
        <v>1</v>
      </c>
      <c r="L148" s="20">
        <v>0</v>
      </c>
      <c r="M148" s="20">
        <v>2</v>
      </c>
      <c r="N148" s="50">
        <v>0</v>
      </c>
      <c r="O148" s="51">
        <f t="shared" ref="O148:O149" si="28">K148+L148+M148+N148</f>
        <v>3</v>
      </c>
      <c r="P148" s="51">
        <f t="shared" ref="P148:P149" si="29">Q148-O148</f>
        <v>4</v>
      </c>
      <c r="Q148" s="51">
        <f t="shared" ref="Q148:Q149" si="30">ROUND(PRODUCT(J148,25)/14,0)</f>
        <v>7</v>
      </c>
      <c r="R148" s="20"/>
      <c r="S148" s="20"/>
      <c r="T148" s="21" t="s">
        <v>36</v>
      </c>
      <c r="U148" s="10" t="s">
        <v>41</v>
      </c>
      <c r="V148" s="83"/>
      <c r="W148" s="83"/>
      <c r="X148" s="83"/>
      <c r="Y148" s="83"/>
      <c r="Z148" s="83"/>
    </row>
    <row r="149" spans="1:26" x14ac:dyDescent="0.2">
      <c r="A149" s="95" t="s">
        <v>210</v>
      </c>
      <c r="B149" s="228" t="s">
        <v>211</v>
      </c>
      <c r="C149" s="180"/>
      <c r="D149" s="180"/>
      <c r="E149" s="180"/>
      <c r="F149" s="180"/>
      <c r="G149" s="180"/>
      <c r="H149" s="180"/>
      <c r="I149" s="181"/>
      <c r="J149" s="20">
        <v>4</v>
      </c>
      <c r="K149" s="20">
        <v>1</v>
      </c>
      <c r="L149" s="20">
        <v>0</v>
      </c>
      <c r="M149" s="20">
        <v>0</v>
      </c>
      <c r="N149" s="50">
        <v>0</v>
      </c>
      <c r="O149" s="51">
        <f t="shared" si="28"/>
        <v>1</v>
      </c>
      <c r="P149" s="51">
        <f t="shared" si="29"/>
        <v>6</v>
      </c>
      <c r="Q149" s="51">
        <f t="shared" si="30"/>
        <v>7</v>
      </c>
      <c r="R149" s="20"/>
      <c r="S149" s="20"/>
      <c r="T149" s="21" t="s">
        <v>36</v>
      </c>
      <c r="U149" s="10" t="s">
        <v>41</v>
      </c>
      <c r="V149" s="83"/>
      <c r="W149" s="83"/>
      <c r="X149" s="83"/>
      <c r="Y149" s="83"/>
      <c r="Z149" s="83"/>
    </row>
    <row r="150" spans="1:26" x14ac:dyDescent="0.2">
      <c r="A150" s="77" t="s">
        <v>225</v>
      </c>
      <c r="B150" s="227" t="s">
        <v>105</v>
      </c>
      <c r="C150" s="227"/>
      <c r="D150" s="227"/>
      <c r="E150" s="227"/>
      <c r="F150" s="227"/>
      <c r="G150" s="227"/>
      <c r="H150" s="227"/>
      <c r="I150" s="227"/>
      <c r="J150" s="227"/>
      <c r="K150" s="227"/>
      <c r="L150" s="227"/>
      <c r="M150" s="227"/>
      <c r="N150" s="227"/>
      <c r="O150" s="227"/>
      <c r="P150" s="227"/>
      <c r="Q150" s="227"/>
      <c r="R150" s="227"/>
      <c r="S150" s="227"/>
      <c r="T150" s="227"/>
      <c r="U150" s="227"/>
      <c r="V150" s="83"/>
      <c r="W150" s="88"/>
      <c r="X150" s="88"/>
      <c r="Y150" s="88"/>
      <c r="Z150" s="88"/>
    </row>
    <row r="151" spans="1:26" x14ac:dyDescent="0.2">
      <c r="A151" s="95" t="s">
        <v>212</v>
      </c>
      <c r="B151" s="274" t="s">
        <v>213</v>
      </c>
      <c r="C151" s="274"/>
      <c r="D151" s="274"/>
      <c r="E151" s="274"/>
      <c r="F151" s="274"/>
      <c r="G151" s="274"/>
      <c r="H151" s="274"/>
      <c r="I151" s="274"/>
      <c r="J151" s="20">
        <v>4</v>
      </c>
      <c r="K151" s="20">
        <v>1</v>
      </c>
      <c r="L151" s="20">
        <v>0</v>
      </c>
      <c r="M151" s="20">
        <v>2</v>
      </c>
      <c r="N151" s="50">
        <v>0</v>
      </c>
      <c r="O151" s="51">
        <f t="shared" ref="O151:O153" si="31">K151+L151+M151+N151</f>
        <v>3</v>
      </c>
      <c r="P151" s="51">
        <f>Q151-O151</f>
        <v>4</v>
      </c>
      <c r="Q151" s="51">
        <f>ROUND(PRODUCT(J151,25)/14,0)</f>
        <v>7</v>
      </c>
      <c r="R151" s="20"/>
      <c r="S151" s="20"/>
      <c r="T151" s="21" t="s">
        <v>36</v>
      </c>
      <c r="U151" s="10" t="s">
        <v>41</v>
      </c>
      <c r="V151" s="88"/>
      <c r="W151" s="88"/>
      <c r="X151" s="88"/>
      <c r="Y151" s="88"/>
      <c r="Z151" s="88"/>
    </row>
    <row r="152" spans="1:26" x14ac:dyDescent="0.2">
      <c r="A152" s="95" t="s">
        <v>214</v>
      </c>
      <c r="B152" s="228" t="s">
        <v>215</v>
      </c>
      <c r="C152" s="180"/>
      <c r="D152" s="180"/>
      <c r="E152" s="180"/>
      <c r="F152" s="180"/>
      <c r="G152" s="180"/>
      <c r="H152" s="180"/>
      <c r="I152" s="181"/>
      <c r="J152" s="20">
        <v>4</v>
      </c>
      <c r="K152" s="20">
        <v>1</v>
      </c>
      <c r="L152" s="20">
        <v>0</v>
      </c>
      <c r="M152" s="20">
        <v>2</v>
      </c>
      <c r="N152" s="50">
        <v>0</v>
      </c>
      <c r="O152" s="51">
        <f t="shared" si="31"/>
        <v>3</v>
      </c>
      <c r="P152" s="51">
        <f t="shared" ref="P152:P156" si="32">Q152-O152</f>
        <v>4</v>
      </c>
      <c r="Q152" s="51">
        <f t="shared" ref="Q152:Q156" si="33">ROUND(PRODUCT(J152,25)/14,0)</f>
        <v>7</v>
      </c>
      <c r="R152" s="20"/>
      <c r="S152" s="20"/>
      <c r="T152" s="21" t="s">
        <v>36</v>
      </c>
      <c r="U152" s="10" t="s">
        <v>113</v>
      </c>
      <c r="V152" s="88"/>
      <c r="W152" s="88"/>
      <c r="X152" s="88"/>
      <c r="Y152" s="88"/>
      <c r="Z152" s="88"/>
    </row>
    <row r="153" spans="1:26" x14ac:dyDescent="0.2">
      <c r="A153" s="326" t="s">
        <v>217</v>
      </c>
      <c r="B153" s="228" t="s">
        <v>216</v>
      </c>
      <c r="C153" s="180"/>
      <c r="D153" s="180"/>
      <c r="E153" s="180"/>
      <c r="F153" s="180"/>
      <c r="G153" s="180"/>
      <c r="H153" s="180"/>
      <c r="I153" s="181"/>
      <c r="J153" s="20">
        <v>4</v>
      </c>
      <c r="K153" s="20">
        <v>1</v>
      </c>
      <c r="L153" s="20">
        <v>0</v>
      </c>
      <c r="M153" s="20">
        <v>2</v>
      </c>
      <c r="N153" s="50">
        <v>0</v>
      </c>
      <c r="O153" s="51">
        <f t="shared" si="31"/>
        <v>3</v>
      </c>
      <c r="P153" s="51">
        <f t="shared" si="32"/>
        <v>4</v>
      </c>
      <c r="Q153" s="51">
        <f t="shared" si="33"/>
        <v>7</v>
      </c>
      <c r="R153" s="20"/>
      <c r="S153" s="20"/>
      <c r="T153" s="21" t="s">
        <v>36</v>
      </c>
      <c r="U153" s="10" t="s">
        <v>41</v>
      </c>
      <c r="V153" s="84"/>
      <c r="W153" s="84"/>
      <c r="X153" s="84"/>
      <c r="Y153" s="84"/>
      <c r="Z153" s="84"/>
    </row>
    <row r="154" spans="1:26" x14ac:dyDescent="0.2">
      <c r="A154" s="77" t="s">
        <v>226</v>
      </c>
      <c r="B154" s="227" t="s">
        <v>106</v>
      </c>
      <c r="C154" s="227"/>
      <c r="D154" s="227"/>
      <c r="E154" s="227"/>
      <c r="F154" s="227"/>
      <c r="G154" s="227"/>
      <c r="H154" s="227"/>
      <c r="I154" s="227"/>
      <c r="J154" s="227"/>
      <c r="K154" s="227"/>
      <c r="L154" s="227"/>
      <c r="M154" s="227"/>
      <c r="N154" s="227"/>
      <c r="O154" s="227"/>
      <c r="P154" s="227"/>
      <c r="Q154" s="227"/>
      <c r="R154" s="227"/>
      <c r="S154" s="227"/>
      <c r="T154" s="227"/>
      <c r="U154" s="227"/>
      <c r="V154" s="87"/>
      <c r="W154" s="87"/>
      <c r="X154" s="87"/>
      <c r="Y154" s="87"/>
      <c r="Z154" s="87"/>
    </row>
    <row r="155" spans="1:26" x14ac:dyDescent="0.2">
      <c r="A155" s="95" t="s">
        <v>218</v>
      </c>
      <c r="B155" s="228" t="s">
        <v>219</v>
      </c>
      <c r="C155" s="180"/>
      <c r="D155" s="180"/>
      <c r="E155" s="180"/>
      <c r="F155" s="180"/>
      <c r="G155" s="180"/>
      <c r="H155" s="180"/>
      <c r="I155" s="181"/>
      <c r="J155" s="20">
        <v>5</v>
      </c>
      <c r="K155" s="20">
        <v>2</v>
      </c>
      <c r="L155" s="20">
        <v>2</v>
      </c>
      <c r="M155" s="20">
        <v>0</v>
      </c>
      <c r="N155" s="50">
        <v>0</v>
      </c>
      <c r="O155" s="51">
        <f t="shared" ref="O155:O157" si="34">K155+L155+M155+N155</f>
        <v>4</v>
      </c>
      <c r="P155" s="51">
        <f>Q155-O155</f>
        <v>5</v>
      </c>
      <c r="Q155" s="51">
        <f>ROUND(PRODUCT(J155,25)/14,0)</f>
        <v>9</v>
      </c>
      <c r="R155" s="20" t="s">
        <v>35</v>
      </c>
      <c r="S155" s="20"/>
      <c r="T155" s="21"/>
      <c r="U155" s="10" t="s">
        <v>41</v>
      </c>
      <c r="V155" s="87"/>
      <c r="W155" s="87"/>
      <c r="X155" s="87"/>
      <c r="Y155" s="87"/>
      <c r="Z155" s="87"/>
    </row>
    <row r="156" spans="1:26" x14ac:dyDescent="0.2">
      <c r="A156" s="95" t="s">
        <v>220</v>
      </c>
      <c r="B156" s="228" t="s">
        <v>221</v>
      </c>
      <c r="C156" s="180"/>
      <c r="D156" s="180"/>
      <c r="E156" s="180"/>
      <c r="F156" s="180"/>
      <c r="G156" s="180"/>
      <c r="H156" s="180"/>
      <c r="I156" s="181"/>
      <c r="J156" s="20">
        <v>5</v>
      </c>
      <c r="K156" s="20">
        <v>2</v>
      </c>
      <c r="L156" s="20">
        <v>2</v>
      </c>
      <c r="M156" s="20">
        <v>0</v>
      </c>
      <c r="N156" s="50">
        <v>0</v>
      </c>
      <c r="O156" s="51">
        <f t="shared" si="34"/>
        <v>4</v>
      </c>
      <c r="P156" s="51">
        <f t="shared" si="32"/>
        <v>5</v>
      </c>
      <c r="Q156" s="51">
        <f t="shared" si="33"/>
        <v>9</v>
      </c>
      <c r="R156" s="20" t="s">
        <v>35</v>
      </c>
      <c r="S156" s="20"/>
      <c r="T156" s="21"/>
      <c r="U156" s="10" t="s">
        <v>41</v>
      </c>
      <c r="V156" s="87"/>
      <c r="W156" s="87"/>
      <c r="X156" s="87"/>
      <c r="Y156" s="87"/>
      <c r="Z156" s="87"/>
    </row>
    <row r="157" spans="1:26" x14ac:dyDescent="0.2">
      <c r="A157" s="95" t="s">
        <v>222</v>
      </c>
      <c r="B157" s="228" t="s">
        <v>223</v>
      </c>
      <c r="C157" s="180"/>
      <c r="D157" s="180"/>
      <c r="E157" s="180"/>
      <c r="F157" s="180"/>
      <c r="G157" s="180"/>
      <c r="H157" s="180"/>
      <c r="I157" s="181"/>
      <c r="J157" s="20">
        <v>5</v>
      </c>
      <c r="K157" s="20">
        <v>2</v>
      </c>
      <c r="L157" s="20">
        <v>0</v>
      </c>
      <c r="M157" s="20">
        <v>2</v>
      </c>
      <c r="N157" s="50">
        <v>0</v>
      </c>
      <c r="O157" s="51">
        <f t="shared" si="34"/>
        <v>4</v>
      </c>
      <c r="P157" s="51">
        <f>Q157-O157</f>
        <v>5</v>
      </c>
      <c r="Q157" s="51">
        <f>ROUND(PRODUCT(J157,25)/14,0)</f>
        <v>9</v>
      </c>
      <c r="R157" s="20" t="s">
        <v>35</v>
      </c>
      <c r="S157" s="20"/>
      <c r="T157" s="21"/>
      <c r="U157" s="10" t="s">
        <v>41</v>
      </c>
      <c r="V157" s="87"/>
      <c r="W157" s="87"/>
      <c r="X157" s="87"/>
      <c r="Y157" s="87"/>
      <c r="Z157" s="87"/>
    </row>
    <row r="158" spans="1:26" ht="26.25" customHeight="1" x14ac:dyDescent="0.2">
      <c r="A158" s="270" t="s">
        <v>110</v>
      </c>
      <c r="B158" s="270"/>
      <c r="C158" s="270"/>
      <c r="D158" s="270"/>
      <c r="E158" s="270"/>
      <c r="F158" s="270"/>
      <c r="G158" s="270"/>
      <c r="H158" s="270"/>
      <c r="I158" s="270"/>
      <c r="J158" s="17">
        <f>SUM(J148,J151,J155)</f>
        <v>13</v>
      </c>
      <c r="K158" s="17">
        <f t="shared" ref="K158:P158" si="35">SUM(K148,K151,K155)</f>
        <v>4</v>
      </c>
      <c r="L158" s="17">
        <f t="shared" si="35"/>
        <v>2</v>
      </c>
      <c r="M158" s="17">
        <f t="shared" si="35"/>
        <v>4</v>
      </c>
      <c r="N158" s="17">
        <f t="shared" si="35"/>
        <v>0</v>
      </c>
      <c r="O158" s="17">
        <f t="shared" si="35"/>
        <v>10</v>
      </c>
      <c r="P158" s="17">
        <f t="shared" si="35"/>
        <v>13</v>
      </c>
      <c r="Q158" s="17">
        <f>SUM(Q148,Q151,Q155)</f>
        <v>23</v>
      </c>
      <c r="R158" s="17">
        <f>COUNTIF(R148,"E")+COUNTIF(R151,"E")+COUNTIF(R155,"E")</f>
        <v>1</v>
      </c>
      <c r="S158" s="17">
        <f>COUNTIF(S148,"C")+COUNTIF(S151,"C")+COUNTIF(S155,"C")</f>
        <v>0</v>
      </c>
      <c r="T158" s="17">
        <f>COUNTIF(T148,"VP")+COUNTIF(T151,"VP")+COUNTIF(T155,"VP")</f>
        <v>2</v>
      </c>
      <c r="U158" s="86">
        <f>COUNTA(U148,U151,U155)</f>
        <v>3</v>
      </c>
      <c r="V158" s="87"/>
      <c r="W158" s="87"/>
      <c r="X158" s="87"/>
      <c r="Y158" s="87"/>
      <c r="Z158" s="87"/>
    </row>
    <row r="159" spans="1:26" x14ac:dyDescent="0.2">
      <c r="A159" s="139" t="s">
        <v>53</v>
      </c>
      <c r="B159" s="140"/>
      <c r="C159" s="140"/>
      <c r="D159" s="140"/>
      <c r="E159" s="140"/>
      <c r="F159" s="140"/>
      <c r="G159" s="140"/>
      <c r="H159" s="140"/>
      <c r="I159" s="140"/>
      <c r="J159" s="141"/>
      <c r="K159" s="17">
        <f>SUM(K148,K151,K155)*14</f>
        <v>56</v>
      </c>
      <c r="L159" s="17">
        <f t="shared" ref="L159:Q159" si="36">SUM(L148,L151,L155)*14</f>
        <v>28</v>
      </c>
      <c r="M159" s="17">
        <f t="shared" si="36"/>
        <v>56</v>
      </c>
      <c r="N159" s="17">
        <f t="shared" si="36"/>
        <v>0</v>
      </c>
      <c r="O159" s="17">
        <f t="shared" si="36"/>
        <v>140</v>
      </c>
      <c r="P159" s="17">
        <f t="shared" si="36"/>
        <v>182</v>
      </c>
      <c r="Q159" s="17">
        <f t="shared" si="36"/>
        <v>322</v>
      </c>
      <c r="R159" s="269"/>
      <c r="S159" s="269"/>
      <c r="T159" s="269"/>
      <c r="U159" s="269"/>
    </row>
    <row r="160" spans="1:26" x14ac:dyDescent="0.2">
      <c r="A160" s="142"/>
      <c r="B160" s="143"/>
      <c r="C160" s="143"/>
      <c r="D160" s="143"/>
      <c r="E160" s="143"/>
      <c r="F160" s="143"/>
      <c r="G160" s="143"/>
      <c r="H160" s="143"/>
      <c r="I160" s="143"/>
      <c r="J160" s="144"/>
      <c r="K160" s="127">
        <f>SUM(K159:N159)</f>
        <v>140</v>
      </c>
      <c r="L160" s="128"/>
      <c r="M160" s="128"/>
      <c r="N160" s="129"/>
      <c r="O160" s="127">
        <f>SUM(O159:P159)</f>
        <v>322</v>
      </c>
      <c r="P160" s="128"/>
      <c r="Q160" s="129"/>
      <c r="R160" s="269"/>
      <c r="S160" s="269"/>
      <c r="T160" s="269"/>
      <c r="U160" s="269"/>
    </row>
    <row r="161" spans="1:27" x14ac:dyDescent="0.2">
      <c r="A161" s="108" t="s">
        <v>111</v>
      </c>
      <c r="B161" s="109"/>
      <c r="C161" s="109"/>
      <c r="D161" s="109"/>
      <c r="E161" s="109"/>
      <c r="F161" s="109"/>
      <c r="G161" s="109"/>
      <c r="H161" s="109"/>
      <c r="I161" s="109"/>
      <c r="J161" s="110"/>
      <c r="K161" s="111">
        <f>U158/SUM(U48,U63,U82,U101,U117,U131)</f>
        <v>7.1428571428571425E-2</v>
      </c>
      <c r="L161" s="112"/>
      <c r="M161" s="112"/>
      <c r="N161" s="112"/>
      <c r="O161" s="112"/>
      <c r="P161" s="112"/>
      <c r="Q161" s="112"/>
      <c r="R161" s="112"/>
      <c r="S161" s="112"/>
      <c r="T161" s="112"/>
      <c r="U161" s="113"/>
    </row>
    <row r="162" spans="1:27" x14ac:dyDescent="0.2">
      <c r="A162" s="232" t="s">
        <v>116</v>
      </c>
      <c r="B162" s="233"/>
      <c r="C162" s="233"/>
      <c r="D162" s="233"/>
      <c r="E162" s="233"/>
      <c r="F162" s="233"/>
      <c r="G162" s="233"/>
      <c r="H162" s="233"/>
      <c r="I162" s="233"/>
      <c r="J162" s="234"/>
      <c r="K162" s="266">
        <f>K160/(SUM(O48,O63,O82,O101,O117)*14+O131*12)</f>
        <v>7.522837184309511E-2</v>
      </c>
      <c r="L162" s="267"/>
      <c r="M162" s="267"/>
      <c r="N162" s="267"/>
      <c r="O162" s="267"/>
      <c r="P162" s="267"/>
      <c r="Q162" s="267"/>
      <c r="R162" s="267"/>
      <c r="S162" s="267"/>
      <c r="T162" s="267"/>
      <c r="U162" s="268"/>
    </row>
    <row r="163" spans="1:27" ht="11.25" customHeight="1" x14ac:dyDescent="0.2">
      <c r="B163" s="7"/>
      <c r="C163" s="7"/>
      <c r="D163" s="7"/>
      <c r="E163" s="7"/>
      <c r="F163" s="7"/>
      <c r="G163" s="7"/>
      <c r="M163" s="7"/>
      <c r="N163" s="44"/>
      <c r="O163" s="7"/>
      <c r="P163" s="7"/>
      <c r="Q163" s="7"/>
      <c r="R163" s="7"/>
      <c r="S163" s="7"/>
      <c r="T163" s="7"/>
    </row>
    <row r="164" spans="1:27" ht="19.5" customHeight="1" x14ac:dyDescent="0.2">
      <c r="A164" s="192" t="s">
        <v>54</v>
      </c>
      <c r="B164" s="193"/>
      <c r="C164" s="193"/>
      <c r="D164" s="193"/>
      <c r="E164" s="193"/>
      <c r="F164" s="193"/>
      <c r="G164" s="193"/>
      <c r="H164" s="193"/>
      <c r="I164" s="193"/>
      <c r="J164" s="193"/>
      <c r="K164" s="193"/>
      <c r="L164" s="193"/>
      <c r="M164" s="193"/>
      <c r="N164" s="193"/>
      <c r="O164" s="193"/>
      <c r="P164" s="193"/>
      <c r="Q164" s="193"/>
      <c r="R164" s="193"/>
      <c r="S164" s="193"/>
      <c r="T164" s="193"/>
      <c r="U164" s="194"/>
    </row>
    <row r="165" spans="1:27" x14ac:dyDescent="0.2">
      <c r="A165" s="236" t="s">
        <v>30</v>
      </c>
      <c r="B165" s="236" t="s">
        <v>29</v>
      </c>
      <c r="C165" s="236"/>
      <c r="D165" s="236"/>
      <c r="E165" s="236"/>
      <c r="F165" s="236"/>
      <c r="G165" s="236"/>
      <c r="H165" s="236"/>
      <c r="I165" s="236"/>
      <c r="J165" s="205" t="s">
        <v>43</v>
      </c>
      <c r="K165" s="205" t="s">
        <v>27</v>
      </c>
      <c r="L165" s="205"/>
      <c r="M165" s="205"/>
      <c r="N165" s="205"/>
      <c r="O165" s="205" t="s">
        <v>44</v>
      </c>
      <c r="P165" s="206"/>
      <c r="Q165" s="206"/>
      <c r="R165" s="205" t="s">
        <v>26</v>
      </c>
      <c r="S165" s="205"/>
      <c r="T165" s="205"/>
      <c r="U165" s="205" t="s">
        <v>25</v>
      </c>
    </row>
    <row r="166" spans="1:27" x14ac:dyDescent="0.2">
      <c r="A166" s="236"/>
      <c r="B166" s="236"/>
      <c r="C166" s="236"/>
      <c r="D166" s="236"/>
      <c r="E166" s="236"/>
      <c r="F166" s="236"/>
      <c r="G166" s="236"/>
      <c r="H166" s="236"/>
      <c r="I166" s="236"/>
      <c r="J166" s="205"/>
      <c r="K166" s="64" t="s">
        <v>31</v>
      </c>
      <c r="L166" s="64" t="s">
        <v>32</v>
      </c>
      <c r="M166" s="64" t="s">
        <v>33</v>
      </c>
      <c r="N166" s="64" t="s">
        <v>108</v>
      </c>
      <c r="O166" s="64" t="s">
        <v>37</v>
      </c>
      <c r="P166" s="64" t="s">
        <v>8</v>
      </c>
      <c r="Q166" s="64" t="s">
        <v>34</v>
      </c>
      <c r="R166" s="64" t="s">
        <v>35</v>
      </c>
      <c r="S166" s="64" t="s">
        <v>31</v>
      </c>
      <c r="T166" s="64" t="s">
        <v>36</v>
      </c>
      <c r="U166" s="205"/>
    </row>
    <row r="167" spans="1:27" x14ac:dyDescent="0.2">
      <c r="A167" s="235" t="s">
        <v>55</v>
      </c>
      <c r="B167" s="235"/>
      <c r="C167" s="235"/>
      <c r="D167" s="235"/>
      <c r="E167" s="235"/>
      <c r="F167" s="235"/>
      <c r="G167" s="235"/>
      <c r="H167" s="235"/>
      <c r="I167" s="235"/>
      <c r="J167" s="235"/>
      <c r="K167" s="235"/>
      <c r="L167" s="235"/>
      <c r="M167" s="235"/>
      <c r="N167" s="235"/>
      <c r="O167" s="235"/>
      <c r="P167" s="235"/>
      <c r="Q167" s="235"/>
      <c r="R167" s="235"/>
      <c r="S167" s="235"/>
      <c r="T167" s="235"/>
      <c r="U167" s="235"/>
    </row>
    <row r="168" spans="1:27" x14ac:dyDescent="0.2">
      <c r="A168" s="38" t="s">
        <v>227</v>
      </c>
      <c r="B168" s="229" t="s">
        <v>228</v>
      </c>
      <c r="C168" s="230"/>
      <c r="D168" s="230"/>
      <c r="E168" s="230"/>
      <c r="F168" s="230"/>
      <c r="G168" s="230"/>
      <c r="H168" s="230"/>
      <c r="I168" s="231"/>
      <c r="J168" s="10">
        <v>5</v>
      </c>
      <c r="K168" s="10">
        <v>1</v>
      </c>
      <c r="L168" s="10">
        <v>0</v>
      </c>
      <c r="M168" s="10">
        <v>2</v>
      </c>
      <c r="N168" s="50">
        <v>0</v>
      </c>
      <c r="O168" s="51">
        <f t="shared" ref="O168" si="37">K168+L168+M168+N168</f>
        <v>3</v>
      </c>
      <c r="P168" s="51">
        <f>Q168-O168</f>
        <v>6</v>
      </c>
      <c r="Q168" s="51">
        <f>ROUND(PRODUCT(J168,25)/14,0)</f>
        <v>9</v>
      </c>
      <c r="R168" s="20" t="s">
        <v>35</v>
      </c>
      <c r="S168" s="20"/>
      <c r="T168" s="21"/>
      <c r="U168" s="10" t="s">
        <v>42</v>
      </c>
    </row>
    <row r="169" spans="1:27" x14ac:dyDescent="0.2">
      <c r="A169" s="227" t="s">
        <v>56</v>
      </c>
      <c r="B169" s="227"/>
      <c r="C169" s="227"/>
      <c r="D169" s="227"/>
      <c r="E169" s="227"/>
      <c r="F169" s="227"/>
      <c r="G169" s="227"/>
      <c r="H169" s="227"/>
      <c r="I169" s="227"/>
      <c r="J169" s="227"/>
      <c r="K169" s="227"/>
      <c r="L169" s="227"/>
      <c r="M169" s="227"/>
      <c r="N169" s="227"/>
      <c r="O169" s="227"/>
      <c r="P169" s="227"/>
      <c r="Q169" s="227"/>
      <c r="R169" s="227"/>
      <c r="S169" s="227"/>
      <c r="T169" s="227"/>
      <c r="U169" s="227"/>
      <c r="V169" s="83"/>
      <c r="W169" s="83"/>
      <c r="X169" s="83"/>
      <c r="Y169" s="83"/>
      <c r="Z169" s="83"/>
      <c r="AA169" s="83"/>
    </row>
    <row r="170" spans="1:27" ht="12.75" customHeight="1" x14ac:dyDescent="0.2">
      <c r="A170" s="38" t="s">
        <v>229</v>
      </c>
      <c r="B170" s="229" t="s">
        <v>230</v>
      </c>
      <c r="C170" s="230"/>
      <c r="D170" s="230"/>
      <c r="E170" s="230"/>
      <c r="F170" s="230"/>
      <c r="G170" s="230"/>
      <c r="H170" s="230"/>
      <c r="I170" s="231"/>
      <c r="J170" s="10">
        <v>6</v>
      </c>
      <c r="K170" s="10">
        <v>2</v>
      </c>
      <c r="L170" s="10">
        <v>2</v>
      </c>
      <c r="M170" s="10">
        <v>0</v>
      </c>
      <c r="N170" s="50">
        <v>0</v>
      </c>
      <c r="O170" s="51">
        <f t="shared" ref="O170" si="38">K170+L170+M170+N170</f>
        <v>4</v>
      </c>
      <c r="P170" s="51">
        <f>Q170-O170</f>
        <v>7</v>
      </c>
      <c r="Q170" s="51">
        <f>ROUND(PRODUCT(J170,25)/14,0)</f>
        <v>11</v>
      </c>
      <c r="R170" s="20" t="s">
        <v>35</v>
      </c>
      <c r="S170" s="20"/>
      <c r="T170" s="21"/>
      <c r="U170" s="10" t="s">
        <v>42</v>
      </c>
      <c r="V170" s="83"/>
      <c r="W170" s="83"/>
      <c r="X170" s="83"/>
      <c r="Y170" s="83"/>
      <c r="Z170" s="83"/>
      <c r="AA170" s="83"/>
    </row>
    <row r="171" spans="1:27" x14ac:dyDescent="0.2">
      <c r="A171" s="227" t="s">
        <v>57</v>
      </c>
      <c r="B171" s="227"/>
      <c r="C171" s="227"/>
      <c r="D171" s="227"/>
      <c r="E171" s="227"/>
      <c r="F171" s="227"/>
      <c r="G171" s="227"/>
      <c r="H171" s="227"/>
      <c r="I171" s="227"/>
      <c r="J171" s="227"/>
      <c r="K171" s="227"/>
      <c r="L171" s="227"/>
      <c r="M171" s="227"/>
      <c r="N171" s="227"/>
      <c r="O171" s="227"/>
      <c r="P171" s="227"/>
      <c r="Q171" s="227"/>
      <c r="R171" s="227"/>
      <c r="S171" s="227"/>
      <c r="T171" s="227"/>
      <c r="U171" s="227"/>
      <c r="V171" s="83"/>
      <c r="W171" s="83"/>
      <c r="X171" s="83"/>
      <c r="Y171" s="83"/>
      <c r="Z171" s="83"/>
      <c r="AA171" s="83"/>
    </row>
    <row r="172" spans="1:27" ht="12.75" customHeight="1" x14ac:dyDescent="0.2">
      <c r="A172" s="38" t="s">
        <v>231</v>
      </c>
      <c r="B172" s="229" t="s">
        <v>232</v>
      </c>
      <c r="C172" s="230"/>
      <c r="D172" s="230"/>
      <c r="E172" s="230"/>
      <c r="F172" s="230"/>
      <c r="G172" s="230"/>
      <c r="H172" s="230"/>
      <c r="I172" s="231"/>
      <c r="J172" s="10">
        <v>4</v>
      </c>
      <c r="K172" s="10">
        <v>2</v>
      </c>
      <c r="L172" s="10">
        <v>1</v>
      </c>
      <c r="M172" s="10">
        <v>0</v>
      </c>
      <c r="N172" s="50">
        <v>0</v>
      </c>
      <c r="O172" s="51">
        <f t="shared" ref="O172" si="39">K172+L172+M172+N172</f>
        <v>3</v>
      </c>
      <c r="P172" s="51">
        <f>Q172-O172</f>
        <v>4</v>
      </c>
      <c r="Q172" s="51">
        <f>ROUND(PRODUCT(J172,25)/14,0)</f>
        <v>7</v>
      </c>
      <c r="R172" s="20" t="s">
        <v>35</v>
      </c>
      <c r="S172" s="20"/>
      <c r="T172" s="21"/>
      <c r="U172" s="10" t="s">
        <v>42</v>
      </c>
      <c r="V172" s="83"/>
      <c r="W172" s="83"/>
      <c r="X172" s="83"/>
      <c r="Y172" s="83"/>
      <c r="Z172" s="83"/>
      <c r="AA172" s="83"/>
    </row>
    <row r="173" spans="1:27" x14ac:dyDescent="0.2">
      <c r="A173" s="227" t="s">
        <v>58</v>
      </c>
      <c r="B173" s="281"/>
      <c r="C173" s="281"/>
      <c r="D173" s="281"/>
      <c r="E173" s="281"/>
      <c r="F173" s="281"/>
      <c r="G173" s="281"/>
      <c r="H173" s="281"/>
      <c r="I173" s="281"/>
      <c r="J173" s="281"/>
      <c r="K173" s="281"/>
      <c r="L173" s="281"/>
      <c r="M173" s="281"/>
      <c r="N173" s="281"/>
      <c r="O173" s="281"/>
      <c r="P173" s="281"/>
      <c r="Q173" s="281"/>
      <c r="R173" s="281"/>
      <c r="S173" s="281"/>
      <c r="T173" s="281"/>
      <c r="U173" s="281"/>
      <c r="V173" s="84"/>
      <c r="W173" s="84"/>
      <c r="X173" s="84"/>
      <c r="Y173" s="84"/>
      <c r="Z173" s="84"/>
      <c r="AA173" s="84"/>
    </row>
    <row r="174" spans="1:27" s="96" customFormat="1" ht="12.75" customHeight="1" x14ac:dyDescent="0.2">
      <c r="A174" s="38" t="s">
        <v>233</v>
      </c>
      <c r="B174" s="229" t="s">
        <v>234</v>
      </c>
      <c r="C174" s="230"/>
      <c r="D174" s="230"/>
      <c r="E174" s="230"/>
      <c r="F174" s="230"/>
      <c r="G174" s="230"/>
      <c r="H174" s="230"/>
      <c r="I174" s="231"/>
      <c r="J174" s="10">
        <v>5</v>
      </c>
      <c r="K174" s="10">
        <v>2</v>
      </c>
      <c r="L174" s="10">
        <v>2</v>
      </c>
      <c r="M174" s="10">
        <v>0</v>
      </c>
      <c r="N174" s="50">
        <v>0</v>
      </c>
      <c r="O174" s="51">
        <f t="shared" ref="O174" si="40">K174+L174+M174+N174</f>
        <v>4</v>
      </c>
      <c r="P174" s="51">
        <f>Q174-O174</f>
        <v>5</v>
      </c>
      <c r="Q174" s="51">
        <f>ROUND(PRODUCT(J174,25)/14,0)</f>
        <v>9</v>
      </c>
      <c r="R174" s="20" t="s">
        <v>35</v>
      </c>
      <c r="S174" s="20"/>
      <c r="T174" s="21"/>
      <c r="U174" s="10" t="s">
        <v>42</v>
      </c>
      <c r="V174" s="84"/>
      <c r="W174" s="84"/>
      <c r="X174" s="84"/>
      <c r="Y174" s="84"/>
      <c r="Z174" s="84"/>
      <c r="AA174" s="84"/>
    </row>
    <row r="175" spans="1:27" ht="16.5" hidden="1" customHeight="1" x14ac:dyDescent="0.2">
      <c r="A175" s="227" t="s">
        <v>59</v>
      </c>
      <c r="B175" s="281"/>
      <c r="C175" s="281"/>
      <c r="D175" s="281"/>
      <c r="E175" s="281"/>
      <c r="F175" s="281"/>
      <c r="G175" s="281"/>
      <c r="H175" s="281"/>
      <c r="I175" s="281"/>
      <c r="J175" s="281"/>
      <c r="K175" s="281"/>
      <c r="L175" s="281"/>
      <c r="M175" s="281"/>
      <c r="N175" s="281"/>
      <c r="O175" s="281"/>
      <c r="P175" s="281"/>
      <c r="Q175" s="281"/>
      <c r="R175" s="281"/>
      <c r="S175" s="281"/>
      <c r="T175" s="281"/>
      <c r="U175" s="281"/>
      <c r="V175" s="84"/>
      <c r="W175" s="84"/>
      <c r="X175" s="84"/>
      <c r="Y175" s="84"/>
      <c r="Z175" s="84"/>
      <c r="AA175" s="84"/>
    </row>
    <row r="176" spans="1:27" hidden="1" x14ac:dyDescent="0.2">
      <c r="A176" s="61"/>
      <c r="B176" s="274"/>
      <c r="C176" s="274"/>
      <c r="D176" s="274"/>
      <c r="E176" s="274"/>
      <c r="F176" s="274"/>
      <c r="G176" s="274"/>
      <c r="H176" s="274"/>
      <c r="I176" s="274"/>
      <c r="J176" s="20">
        <v>0</v>
      </c>
      <c r="K176" s="20">
        <v>0</v>
      </c>
      <c r="L176" s="20">
        <v>0</v>
      </c>
      <c r="M176" s="20">
        <v>0</v>
      </c>
      <c r="N176" s="50">
        <v>0</v>
      </c>
      <c r="O176" s="51">
        <f t="shared" ref="O176" si="41">K176+L176+M176+N176</f>
        <v>0</v>
      </c>
      <c r="P176" s="51">
        <f>Q176-O176</f>
        <v>0</v>
      </c>
      <c r="Q176" s="51">
        <f>ROUND(PRODUCT(J176,25)/14,0)</f>
        <v>0</v>
      </c>
      <c r="R176" s="20"/>
      <c r="S176" s="20"/>
      <c r="T176" s="21"/>
      <c r="U176" s="10"/>
      <c r="V176" s="84"/>
      <c r="W176" s="84"/>
      <c r="X176" s="84"/>
      <c r="Y176" s="84"/>
      <c r="Z176" s="84"/>
      <c r="AA176" s="84"/>
    </row>
    <row r="177" spans="1:27" ht="16.5" hidden="1" customHeight="1" x14ac:dyDescent="0.2">
      <c r="A177" s="227" t="s">
        <v>60</v>
      </c>
      <c r="B177" s="227"/>
      <c r="C177" s="227"/>
      <c r="D177" s="227"/>
      <c r="E177" s="227"/>
      <c r="F177" s="227"/>
      <c r="G177" s="227"/>
      <c r="H177" s="227"/>
      <c r="I177" s="227"/>
      <c r="J177" s="227"/>
      <c r="K177" s="227"/>
      <c r="L177" s="227"/>
      <c r="M177" s="227"/>
      <c r="N177" s="227"/>
      <c r="O177" s="227"/>
      <c r="P177" s="227"/>
      <c r="Q177" s="227"/>
      <c r="R177" s="227"/>
      <c r="S177" s="227"/>
      <c r="T177" s="227"/>
      <c r="U177" s="227"/>
      <c r="V177" s="84"/>
      <c r="W177" s="84"/>
      <c r="X177" s="84"/>
      <c r="Y177" s="84"/>
      <c r="Z177" s="84"/>
      <c r="AA177" s="84"/>
    </row>
    <row r="178" spans="1:27" ht="12.75" hidden="1" customHeight="1" x14ac:dyDescent="0.2">
      <c r="A178" s="61"/>
      <c r="B178" s="274"/>
      <c r="C178" s="274"/>
      <c r="D178" s="274"/>
      <c r="E178" s="274"/>
      <c r="F178" s="274"/>
      <c r="G178" s="274"/>
      <c r="H178" s="274"/>
      <c r="I178" s="274"/>
      <c r="J178" s="20">
        <v>0</v>
      </c>
      <c r="K178" s="20">
        <v>0</v>
      </c>
      <c r="L178" s="20">
        <v>0</v>
      </c>
      <c r="M178" s="20">
        <v>0</v>
      </c>
      <c r="N178" s="50">
        <v>0</v>
      </c>
      <c r="O178" s="51">
        <f t="shared" ref="O178" si="42">K178+L178+M178+N178</f>
        <v>0</v>
      </c>
      <c r="P178" s="51">
        <f>Q178-O178</f>
        <v>0</v>
      </c>
      <c r="Q178" s="51">
        <f t="shared" ref="Q178" si="43">ROUND(PRODUCT(J178,25)/12,0)</f>
        <v>0</v>
      </c>
      <c r="R178" s="20"/>
      <c r="S178" s="20"/>
      <c r="T178" s="21"/>
      <c r="U178" s="10"/>
      <c r="V178" s="85"/>
      <c r="W178" s="85"/>
      <c r="X178" s="85"/>
      <c r="Y178" s="85"/>
      <c r="Z178" s="85"/>
      <c r="AA178" s="85"/>
    </row>
    <row r="179" spans="1:27" ht="27" customHeight="1" x14ac:dyDescent="0.2">
      <c r="A179" s="270" t="s">
        <v>110</v>
      </c>
      <c r="B179" s="270"/>
      <c r="C179" s="270"/>
      <c r="D179" s="270"/>
      <c r="E179" s="270"/>
      <c r="F179" s="270"/>
      <c r="G179" s="270"/>
      <c r="H179" s="270"/>
      <c r="I179" s="270"/>
      <c r="J179" s="17">
        <f t="shared" ref="J179:Q179" si="44">SUM(J168:J168,J170:J170,J172:J172,J174:J174,J176:J176,J178:J178)</f>
        <v>20</v>
      </c>
      <c r="K179" s="17">
        <f t="shared" si="44"/>
        <v>7</v>
      </c>
      <c r="L179" s="17">
        <f t="shared" si="44"/>
        <v>5</v>
      </c>
      <c r="M179" s="17">
        <f t="shared" si="44"/>
        <v>2</v>
      </c>
      <c r="N179" s="53">
        <f t="shared" si="44"/>
        <v>0</v>
      </c>
      <c r="O179" s="53">
        <f t="shared" si="44"/>
        <v>14</v>
      </c>
      <c r="P179" s="53">
        <f t="shared" si="44"/>
        <v>22</v>
      </c>
      <c r="Q179" s="53">
        <f t="shared" si="44"/>
        <v>36</v>
      </c>
      <c r="R179" s="17">
        <f>COUNTIF(R168:R168,"E")+COUNTIF(R170:R170,"E")+COUNTIF(R172:R172,"E")+COUNTIF(R174:R174,"E")+COUNTIF(R176:R176,"E")+COUNTIF(R178:R178,"E")</f>
        <v>4</v>
      </c>
      <c r="S179" s="17">
        <f>COUNTIF(S168:S168,"C")+COUNTIF(S170:S170,"C")+COUNTIF(S172:S172,"C")+COUNTIF(S174:S174,"C")+COUNTIF(S176:S176,"C")+COUNTIF(S178:S178,"C")</f>
        <v>0</v>
      </c>
      <c r="T179" s="17">
        <f>COUNTIF(T168:T168,"VP")+COUNTIF(T170:T170,"VP")+COUNTIF(T172:T172,"VP")+COUNTIF(T174:T174,"VP")+COUNTIF(T176:T176,"VP")+COUNTIF(T178:T178,"VP")</f>
        <v>0</v>
      </c>
      <c r="U179" s="86">
        <f>COUNTA(U168:U168,U170:U170,U172:U172,U174:U174,U176:U176,U178:U178)</f>
        <v>4</v>
      </c>
      <c r="V179" s="85"/>
      <c r="W179" s="85"/>
      <c r="X179" s="85"/>
      <c r="Y179" s="85"/>
      <c r="Z179" s="85"/>
      <c r="AA179" s="85"/>
    </row>
    <row r="180" spans="1:27" x14ac:dyDescent="0.2">
      <c r="A180" s="139" t="s">
        <v>53</v>
      </c>
      <c r="B180" s="140"/>
      <c r="C180" s="140"/>
      <c r="D180" s="140"/>
      <c r="E180" s="140"/>
      <c r="F180" s="140"/>
      <c r="G180" s="140"/>
      <c r="H180" s="140"/>
      <c r="I180" s="140"/>
      <c r="J180" s="141"/>
      <c r="K180" s="17">
        <f t="shared" ref="K180:Q180" si="45">SUM(K168:K168,K170:K170,K172:K172,K174:K174,K176:K176)*14+SUM(K178:K178)*12</f>
        <v>98</v>
      </c>
      <c r="L180" s="17">
        <f t="shared" si="45"/>
        <v>70</v>
      </c>
      <c r="M180" s="17">
        <f t="shared" si="45"/>
        <v>28</v>
      </c>
      <c r="N180" s="53">
        <f t="shared" si="45"/>
        <v>0</v>
      </c>
      <c r="O180" s="53">
        <f t="shared" si="45"/>
        <v>196</v>
      </c>
      <c r="P180" s="53">
        <f t="shared" si="45"/>
        <v>308</v>
      </c>
      <c r="Q180" s="53">
        <f t="shared" si="45"/>
        <v>504</v>
      </c>
      <c r="R180" s="121"/>
      <c r="S180" s="122"/>
      <c r="T180" s="122"/>
      <c r="U180" s="123"/>
    </row>
    <row r="181" spans="1:27" x14ac:dyDescent="0.2">
      <c r="A181" s="142"/>
      <c r="B181" s="143"/>
      <c r="C181" s="143"/>
      <c r="D181" s="143"/>
      <c r="E181" s="143"/>
      <c r="F181" s="143"/>
      <c r="G181" s="143"/>
      <c r="H181" s="143"/>
      <c r="I181" s="143"/>
      <c r="J181" s="144"/>
      <c r="K181" s="127">
        <f>SUM(K180:N180)</f>
        <v>196</v>
      </c>
      <c r="L181" s="128"/>
      <c r="M181" s="128"/>
      <c r="N181" s="129"/>
      <c r="O181" s="127">
        <f>SUM(O180:P180)</f>
        <v>504</v>
      </c>
      <c r="P181" s="128"/>
      <c r="Q181" s="129"/>
      <c r="R181" s="124"/>
      <c r="S181" s="125"/>
      <c r="T181" s="125"/>
      <c r="U181" s="126"/>
    </row>
    <row r="182" spans="1:27" s="54" customFormat="1" x14ac:dyDescent="0.2">
      <c r="A182" s="108" t="s">
        <v>111</v>
      </c>
      <c r="B182" s="109"/>
      <c r="C182" s="109"/>
      <c r="D182" s="109"/>
      <c r="E182" s="109"/>
      <c r="F182" s="109"/>
      <c r="G182" s="109"/>
      <c r="H182" s="109"/>
      <c r="I182" s="109"/>
      <c r="J182" s="110"/>
      <c r="K182" s="111">
        <f>U179/SUM(U48,U63,U82,U101,U117,U131)</f>
        <v>9.5238095238095233E-2</v>
      </c>
      <c r="L182" s="112"/>
      <c r="M182" s="112"/>
      <c r="N182" s="112"/>
      <c r="O182" s="112"/>
      <c r="P182" s="112"/>
      <c r="Q182" s="112"/>
      <c r="R182" s="112"/>
      <c r="S182" s="112"/>
      <c r="T182" s="112"/>
      <c r="U182" s="113"/>
    </row>
    <row r="183" spans="1:27" x14ac:dyDescent="0.2">
      <c r="A183" s="118" t="s">
        <v>112</v>
      </c>
      <c r="B183" s="119"/>
      <c r="C183" s="119"/>
      <c r="D183" s="119"/>
      <c r="E183" s="119"/>
      <c r="F183" s="119"/>
      <c r="G183" s="119"/>
      <c r="H183" s="119"/>
      <c r="I183" s="119"/>
      <c r="J183" s="120"/>
      <c r="K183" s="266">
        <f>K181/(SUM(O48,O63,O82,O101,O117)*14+O131*12)</f>
        <v>0.10531972058033315</v>
      </c>
      <c r="L183" s="267"/>
      <c r="M183" s="267"/>
      <c r="N183" s="267"/>
      <c r="O183" s="267"/>
      <c r="P183" s="267"/>
      <c r="Q183" s="267"/>
      <c r="R183" s="267"/>
      <c r="S183" s="267"/>
      <c r="T183" s="267"/>
      <c r="U183" s="268"/>
    </row>
    <row r="184" spans="1:27" s="99" customFormat="1" ht="6" customHeight="1" x14ac:dyDescent="0.2">
      <c r="A184" s="101"/>
      <c r="B184" s="101"/>
      <c r="C184" s="101"/>
      <c r="D184" s="101"/>
      <c r="E184" s="101"/>
      <c r="F184" s="101"/>
      <c r="G184" s="101"/>
      <c r="H184" s="101"/>
      <c r="I184" s="101"/>
      <c r="J184" s="101"/>
      <c r="K184" s="102"/>
      <c r="L184" s="102"/>
      <c r="M184" s="102"/>
      <c r="N184" s="102"/>
      <c r="O184" s="102"/>
      <c r="P184" s="102"/>
      <c r="Q184" s="102"/>
      <c r="R184" s="102"/>
      <c r="S184" s="102"/>
      <c r="T184" s="102"/>
      <c r="U184" s="102"/>
    </row>
    <row r="185" spans="1:27" ht="24" customHeight="1" x14ac:dyDescent="0.2">
      <c r="A185" s="244" t="s">
        <v>61</v>
      </c>
      <c r="B185" s="282"/>
      <c r="C185" s="282"/>
      <c r="D185" s="282"/>
      <c r="E185" s="282"/>
      <c r="F185" s="282"/>
      <c r="G185" s="282"/>
      <c r="H185" s="282"/>
      <c r="I185" s="282"/>
      <c r="J185" s="282"/>
      <c r="K185" s="282"/>
      <c r="L185" s="282"/>
      <c r="M185" s="282"/>
      <c r="N185" s="282"/>
      <c r="O185" s="282"/>
      <c r="P185" s="282"/>
      <c r="Q185" s="282"/>
      <c r="R185" s="282"/>
      <c r="S185" s="282"/>
      <c r="T185" s="282"/>
      <c r="U185" s="282"/>
    </row>
    <row r="186" spans="1:27" ht="16.5" customHeight="1" x14ac:dyDescent="0.2">
      <c r="A186" s="131" t="s">
        <v>63</v>
      </c>
      <c r="B186" s="146"/>
      <c r="C186" s="146"/>
      <c r="D186" s="146"/>
      <c r="E186" s="146"/>
      <c r="F186" s="146"/>
      <c r="G186" s="146"/>
      <c r="H186" s="146"/>
      <c r="I186" s="146"/>
      <c r="J186" s="146"/>
      <c r="K186" s="146"/>
      <c r="L186" s="146"/>
      <c r="M186" s="146"/>
      <c r="N186" s="146"/>
      <c r="O186" s="146"/>
      <c r="P186" s="146"/>
      <c r="Q186" s="146"/>
      <c r="R186" s="146"/>
      <c r="S186" s="146"/>
      <c r="T186" s="146"/>
      <c r="U186" s="146"/>
    </row>
    <row r="187" spans="1:27" ht="34.5" customHeight="1" x14ac:dyDescent="0.2">
      <c r="A187" s="131" t="s">
        <v>30</v>
      </c>
      <c r="B187" s="131" t="s">
        <v>29</v>
      </c>
      <c r="C187" s="131"/>
      <c r="D187" s="131"/>
      <c r="E187" s="131"/>
      <c r="F187" s="131"/>
      <c r="G187" s="131"/>
      <c r="H187" s="131"/>
      <c r="I187" s="131"/>
      <c r="J187" s="145" t="s">
        <v>43</v>
      </c>
      <c r="K187" s="145" t="s">
        <v>27</v>
      </c>
      <c r="L187" s="145"/>
      <c r="M187" s="145"/>
      <c r="N187" s="145"/>
      <c r="O187" s="145" t="s">
        <v>44</v>
      </c>
      <c r="P187" s="145"/>
      <c r="Q187" s="145"/>
      <c r="R187" s="145" t="s">
        <v>26</v>
      </c>
      <c r="S187" s="145"/>
      <c r="T187" s="145"/>
      <c r="U187" s="145" t="s">
        <v>25</v>
      </c>
    </row>
    <row r="188" spans="1:27" x14ac:dyDescent="0.2">
      <c r="A188" s="131"/>
      <c r="B188" s="131"/>
      <c r="C188" s="131"/>
      <c r="D188" s="131"/>
      <c r="E188" s="131"/>
      <c r="F188" s="131"/>
      <c r="G188" s="131"/>
      <c r="H188" s="131"/>
      <c r="I188" s="131"/>
      <c r="J188" s="145"/>
      <c r="K188" s="60" t="s">
        <v>31</v>
      </c>
      <c r="L188" s="60" t="s">
        <v>32</v>
      </c>
      <c r="M188" s="60" t="s">
        <v>33</v>
      </c>
      <c r="N188" s="60" t="s">
        <v>108</v>
      </c>
      <c r="O188" s="60" t="s">
        <v>37</v>
      </c>
      <c r="P188" s="60" t="s">
        <v>8</v>
      </c>
      <c r="Q188" s="60" t="s">
        <v>34</v>
      </c>
      <c r="R188" s="60" t="s">
        <v>35</v>
      </c>
      <c r="S188" s="60" t="s">
        <v>31</v>
      </c>
      <c r="T188" s="60" t="s">
        <v>36</v>
      </c>
      <c r="U188" s="145"/>
      <c r="V188" s="84"/>
      <c r="W188" s="84"/>
      <c r="X188" s="84"/>
      <c r="Y188" s="84"/>
      <c r="Z188" s="84"/>
      <c r="AA188" s="84"/>
    </row>
    <row r="189" spans="1:27" x14ac:dyDescent="0.2">
      <c r="A189" s="131" t="s">
        <v>62</v>
      </c>
      <c r="B189" s="131"/>
      <c r="C189" s="131"/>
      <c r="D189" s="131"/>
      <c r="E189" s="131"/>
      <c r="F189" s="131"/>
      <c r="G189" s="131"/>
      <c r="H189" s="131"/>
      <c r="I189" s="131"/>
      <c r="J189" s="131"/>
      <c r="K189" s="131"/>
      <c r="L189" s="131"/>
      <c r="M189" s="131"/>
      <c r="N189" s="131"/>
      <c r="O189" s="131"/>
      <c r="P189" s="131"/>
      <c r="Q189" s="131"/>
      <c r="R189" s="131"/>
      <c r="S189" s="131"/>
      <c r="T189" s="131"/>
      <c r="U189" s="131"/>
      <c r="V189" s="84"/>
      <c r="W189" s="84"/>
      <c r="X189" s="84"/>
      <c r="Y189" s="84"/>
      <c r="Z189" s="84"/>
      <c r="AA189" s="84"/>
    </row>
    <row r="190" spans="1:27" x14ac:dyDescent="0.2">
      <c r="A190" s="24" t="str">
        <f>IF(ISNA(INDEX($A$37:$U$198,MATCH($B190,$B$37:$B$198,0),1)),"",INDEX($A$37:$U$198,MATCH($B190,$B$37:$B$198,0),1))</f>
        <v>VLR1469</v>
      </c>
      <c r="B190" s="135" t="s">
        <v>134</v>
      </c>
      <c r="C190" s="135"/>
      <c r="D190" s="135"/>
      <c r="E190" s="135"/>
      <c r="F190" s="135"/>
      <c r="G190" s="135"/>
      <c r="H190" s="135"/>
      <c r="I190" s="135"/>
      <c r="J190" s="14">
        <f>IF(ISNA(INDEX($A$37:$U$198,MATCH($B190,$B$37:$B$198,0),10)),"",INDEX($A$37:$U$198,MATCH($B190,$B$37:$B$198,0),10))</f>
        <v>5</v>
      </c>
      <c r="K190" s="14">
        <f>IF(ISNA(INDEX($A$37:$U$198,MATCH($B190,$B$37:$B$198,0),11)),"",INDEX($A$37:$U$198,MATCH($B190,$B$37:$B$198,0),11))</f>
        <v>2</v>
      </c>
      <c r="L190" s="14">
        <f>IF(ISNA(INDEX($A$37:$U$198,MATCH($B190,$B$37:$B$198,0),12)),"",INDEX($A$37:$U$198,MATCH($B190,$B$37:$B$198,0),12))</f>
        <v>1</v>
      </c>
      <c r="M190" s="14">
        <f>IF(ISNA(INDEX($A$37:$U$198,MATCH($B190,$B$37:$B$198,0),13)),"",INDEX($A$37:$U$198,MATCH($B190,$B$37:$B$198,0),13))</f>
        <v>1</v>
      </c>
      <c r="N190" s="51">
        <f>IF(ISNA(INDEX($A$37:$U$198,MATCH($B190,$B$37:$B$198,0),14)),"",INDEX($A$37:$U$198,MATCH($B190,$B$37:$B$198,0),14))</f>
        <v>0</v>
      </c>
      <c r="O190" s="51">
        <f>IF(ISNA(INDEX($A$37:$U$181,MATCH($B190,$B$37:$B$181,0),15)),"",INDEX($A$37:$U$181,MATCH($B190,$B$37:$B$181,0),15))</f>
        <v>4</v>
      </c>
      <c r="P190" s="51">
        <f>IF(ISNA(INDEX($A$37:$U$181,MATCH($B190,$B$37:$B$181,0),16)),"",INDEX($A$37:$U$181,MATCH($B190,$B$37:$B$181,0),16))</f>
        <v>5</v>
      </c>
      <c r="Q190" s="51">
        <f>IF(ISNA(INDEX($A$37:$U$181,MATCH($B190,$B$37:$B$181,0),17)),"",INDEX($A$37:$U$181,MATCH($B190,$B$37:$B$181,0),17))</f>
        <v>9</v>
      </c>
      <c r="R190" s="22" t="str">
        <f>IF(ISNA(INDEX($A$37:$U$198,MATCH($B190,$B$37:$B$198,0),18)),"",INDEX($A$37:$U$198,MATCH($B190,$B$37:$B$198,0),18))</f>
        <v>E</v>
      </c>
      <c r="S190" s="22">
        <f>IF(ISNA(INDEX($A$37:$U$198,MATCH($B190,$B$37:$B$198,0),19)),"",INDEX($A$37:$U$198,MATCH($B190,$B$37:$B$198,0),19))</f>
        <v>0</v>
      </c>
      <c r="T190" s="22">
        <f>IF(ISNA(INDEX($A$37:$U$198,MATCH($B190,$B$37:$B$198,0),20)),"",INDEX($A$37:$U$198,MATCH($B190,$B$37:$B$198,0),20))</f>
        <v>0</v>
      </c>
      <c r="U190" s="22" t="str">
        <f>IF(ISNA(INDEX($A$37:$U$198,MATCH($B190,$B$37:$B$198,0),21)),"",INDEX($A$37:$U$198,MATCH($B190,$B$37:$B$198,0),21))</f>
        <v>DF</v>
      </c>
      <c r="V190" s="84"/>
      <c r="W190" s="84"/>
      <c r="X190" s="84"/>
      <c r="Y190" s="84"/>
      <c r="Z190" s="84"/>
      <c r="AA190" s="84"/>
    </row>
    <row r="191" spans="1:27" ht="15" customHeight="1" x14ac:dyDescent="0.2">
      <c r="A191" s="24" t="str">
        <f>IF(ISNA(INDEX($A$37:$U$198,MATCH($B191,$B$37:$B$198,0),1)),"",INDEX($A$37:$U$198,MATCH($B191,$B$37:$B$198,0),1))</f>
        <v>VLR1468</v>
      </c>
      <c r="B191" s="135" t="s">
        <v>136</v>
      </c>
      <c r="C191" s="135"/>
      <c r="D191" s="135"/>
      <c r="E191" s="135"/>
      <c r="F191" s="135"/>
      <c r="G191" s="135"/>
      <c r="H191" s="135"/>
      <c r="I191" s="135"/>
      <c r="J191" s="14">
        <f>IF(ISNA(INDEX($A$37:$U$198,MATCH($B191,$B$37:$B$198,0),10)),"",INDEX($A$37:$U$198,MATCH($B191,$B$37:$B$198,0),10))</f>
        <v>5</v>
      </c>
      <c r="K191" s="14">
        <f>IF(ISNA(INDEX($A$37:$U$198,MATCH($B191,$B$37:$B$198,0),11)),"",INDEX($A$37:$U$198,MATCH($B191,$B$37:$B$198,0),11))</f>
        <v>2</v>
      </c>
      <c r="L191" s="14">
        <f>IF(ISNA(INDEX($A$37:$U$198,MATCH($B191,$B$37:$B$198,0),12)),"",INDEX($A$37:$U$198,MATCH($B191,$B$37:$B$198,0),12))</f>
        <v>2</v>
      </c>
      <c r="M191" s="14">
        <f>IF(ISNA(INDEX($A$37:$U$198,MATCH($B191,$B$37:$B$198,0),13)),"",INDEX($A$37:$U$198,MATCH($B191,$B$37:$B$198,0),13))</f>
        <v>0</v>
      </c>
      <c r="N191" s="51">
        <f>IF(ISNA(INDEX($A$37:$U$198,MATCH($B191,$B$37:$B$198,0),14)),"",INDEX($A$37:$U$198,MATCH($B191,$B$37:$B$198,0),14))</f>
        <v>0</v>
      </c>
      <c r="O191" s="51">
        <f>IF(ISNA(INDEX($A$37:$U$181,MATCH($B191,$B$37:$B$181,0),15)),"",INDEX($A$37:$U$181,MATCH($B191,$B$37:$B$181,0),15))</f>
        <v>4</v>
      </c>
      <c r="P191" s="51">
        <f>IF(ISNA(INDEX($A$37:$U$181,MATCH($B191,$B$37:$B$181,0),16)),"",INDEX($A$37:$U$181,MATCH($B191,$B$37:$B$181,0),16))</f>
        <v>5</v>
      </c>
      <c r="Q191" s="51">
        <f>IF(ISNA(INDEX($A$37:$U$181,MATCH($B191,$B$37:$B$181,0),17)),"",INDEX($A$37:$U$181,MATCH($B191,$B$37:$B$181,0),17))</f>
        <v>9</v>
      </c>
      <c r="R191" s="22" t="str">
        <f>IF(ISNA(INDEX($A$37:$U$198,MATCH($B191,$B$37:$B$198,0),18)),"",INDEX($A$37:$U$198,MATCH($B191,$B$37:$B$198,0),18))</f>
        <v>E</v>
      </c>
      <c r="S191" s="22">
        <f>IF(ISNA(INDEX($A$37:$U$198,MATCH($B191,$B$37:$B$198,0),19)),"",INDEX($A$37:$U$198,MATCH($B191,$B$37:$B$198,0),19))</f>
        <v>0</v>
      </c>
      <c r="T191" s="22">
        <f>IF(ISNA(INDEX($A$37:$U$198,MATCH($B191,$B$37:$B$198,0),20)),"",INDEX($A$37:$U$198,MATCH($B191,$B$37:$B$198,0),20))</f>
        <v>0</v>
      </c>
      <c r="U191" s="22" t="str">
        <f>IF(ISNA(INDEX($A$37:$U$198,MATCH($B191,$B$37:$B$198,0),21)),"",INDEX($A$37:$U$198,MATCH($B191,$B$37:$B$198,0),21))</f>
        <v>DF</v>
      </c>
      <c r="V191" s="83"/>
      <c r="W191" s="83"/>
      <c r="X191" s="83"/>
      <c r="Y191" s="83"/>
      <c r="Z191" s="83"/>
      <c r="AA191" s="83"/>
    </row>
    <row r="192" spans="1:27" x14ac:dyDescent="0.2">
      <c r="A192" s="24" t="str">
        <f>IF(ISNA(INDEX($A$37:$U$198,MATCH($B192,$B$37:$B$198,0),1)),"",INDEX($A$37:$U$198,MATCH($B192,$B$37:$B$198,0),1))</f>
        <v>VLR1466</v>
      </c>
      <c r="B192" s="135" t="s">
        <v>140</v>
      </c>
      <c r="C192" s="135"/>
      <c r="D192" s="135"/>
      <c r="E192" s="135"/>
      <c r="F192" s="135"/>
      <c r="G192" s="135"/>
      <c r="H192" s="135"/>
      <c r="I192" s="135"/>
      <c r="J192" s="14">
        <f>IF(ISNA(INDEX($A$37:$U$198,MATCH($B192,$B$37:$B$198,0),10)),"",INDEX($A$37:$U$198,MATCH($B192,$B$37:$B$198,0),10))</f>
        <v>5</v>
      </c>
      <c r="K192" s="14">
        <f>IF(ISNA(INDEX($A$37:$U$198,MATCH($B192,$B$37:$B$198,0),11)),"",INDEX($A$37:$U$198,MATCH($B192,$B$37:$B$198,0),11))</f>
        <v>2</v>
      </c>
      <c r="L192" s="14">
        <f>IF(ISNA(INDEX($A$37:$U$198,MATCH($B192,$B$37:$B$198,0),12)),"",INDEX($A$37:$U$198,MATCH($B192,$B$37:$B$198,0),12))</f>
        <v>1</v>
      </c>
      <c r="M192" s="14">
        <f>IF(ISNA(INDEX($A$37:$U$198,MATCH($B192,$B$37:$B$198,0),13)),"",INDEX($A$37:$U$198,MATCH($B192,$B$37:$B$198,0),13))</f>
        <v>1</v>
      </c>
      <c r="N192" s="51">
        <f>IF(ISNA(INDEX($A$37:$U$198,MATCH($B192,$B$37:$B$198,0),14)),"",INDEX($A$37:$U$198,MATCH($B192,$B$37:$B$198,0),14))</f>
        <v>0</v>
      </c>
      <c r="O192" s="51">
        <f>IF(ISNA(INDEX($A$37:$U$181,MATCH($B192,$B$37:$B$181,0),15)),"",INDEX($A$37:$U$181,MATCH($B192,$B$37:$B$181,0),15))</f>
        <v>4</v>
      </c>
      <c r="P192" s="51">
        <f>IF(ISNA(INDEX($A$37:$U$181,MATCH($B192,$B$37:$B$181,0),16)),"",INDEX($A$37:$U$181,MATCH($B192,$B$37:$B$181,0),16))</f>
        <v>5</v>
      </c>
      <c r="Q192" s="51">
        <f>IF(ISNA(INDEX($A$37:$U$181,MATCH($B192,$B$37:$B$181,0),17)),"",INDEX($A$37:$U$181,MATCH($B192,$B$37:$B$181,0),17))</f>
        <v>9</v>
      </c>
      <c r="R192" s="22" t="str">
        <f>IF(ISNA(INDEX($A$37:$U$198,MATCH($B192,$B$37:$B$198,0),18)),"",INDEX($A$37:$U$198,MATCH($B192,$B$37:$B$198,0),18))</f>
        <v>E</v>
      </c>
      <c r="S192" s="22">
        <f>IF(ISNA(INDEX($A$37:$U$198,MATCH($B192,$B$37:$B$198,0),19)),"",INDEX($A$37:$U$198,MATCH($B192,$B$37:$B$198,0),19))</f>
        <v>0</v>
      </c>
      <c r="T192" s="22">
        <f>IF(ISNA(INDEX($A$37:$U$198,MATCH($B192,$B$37:$B$198,0),20)),"",INDEX($A$37:$U$198,MATCH($B192,$B$37:$B$198,0),20))</f>
        <v>0</v>
      </c>
      <c r="U192" s="22" t="str">
        <f>IF(ISNA(INDEX($A$37:$U$198,MATCH($B192,$B$37:$B$198,0),21)),"",INDEX($A$37:$U$198,MATCH($B192,$B$37:$B$198,0),21))</f>
        <v>DF</v>
      </c>
      <c r="V192" s="83"/>
      <c r="W192" s="83"/>
      <c r="X192" s="83"/>
      <c r="Y192" s="83"/>
      <c r="Z192" s="83"/>
      <c r="AA192" s="83"/>
    </row>
    <row r="193" spans="1:27" x14ac:dyDescent="0.2">
      <c r="A193" s="24" t="str">
        <f>IF(ISNA(INDEX($A$37:$U$198,MATCH($B193,$B$37:$B$198,0),1)),"",INDEX($A$37:$U$198,MATCH($B193,$B$37:$B$198,0),1))</f>
        <v>VLR2464</v>
      </c>
      <c r="B193" s="135" t="s">
        <v>158</v>
      </c>
      <c r="C193" s="135"/>
      <c r="D193" s="135"/>
      <c r="E193" s="135"/>
      <c r="F193" s="135"/>
      <c r="G193" s="135"/>
      <c r="H193" s="135"/>
      <c r="I193" s="135"/>
      <c r="J193" s="14">
        <f>IF(ISNA(INDEX($A$37:$U$198,MATCH($B193,$B$37:$B$198,0),10)),"",INDEX($A$37:$U$198,MATCH($B193,$B$37:$B$198,0),10))</f>
        <v>6</v>
      </c>
      <c r="K193" s="14">
        <f>IF(ISNA(INDEX($A$37:$U$198,MATCH($B193,$B$37:$B$198,0),11)),"",INDEX($A$37:$U$198,MATCH($B193,$B$37:$B$198,0),11))</f>
        <v>2</v>
      </c>
      <c r="L193" s="14">
        <f>IF(ISNA(INDEX($A$37:$U$198,MATCH($B193,$B$37:$B$198,0),12)),"",INDEX($A$37:$U$198,MATCH($B193,$B$37:$B$198,0),12))</f>
        <v>2</v>
      </c>
      <c r="M193" s="14">
        <f>IF(ISNA(INDEX($A$37:$U$198,MATCH($B193,$B$37:$B$198,0),13)),"",INDEX($A$37:$U$198,MATCH($B193,$B$37:$B$198,0),13))</f>
        <v>0</v>
      </c>
      <c r="N193" s="51">
        <f>IF(ISNA(INDEX($A$37:$U$198,MATCH($B193,$B$37:$B$198,0),14)),"",INDEX($A$37:$U$198,MATCH($B193,$B$37:$B$198,0),14))</f>
        <v>0</v>
      </c>
      <c r="O193" s="51">
        <f>IF(ISNA(INDEX($A$37:$U$181,MATCH($B193,$B$37:$B$181,0),15)),"",INDEX($A$37:$U$181,MATCH($B193,$B$37:$B$181,0),15))</f>
        <v>4</v>
      </c>
      <c r="P193" s="51">
        <f>IF(ISNA(INDEX($A$37:$U$181,MATCH($B193,$B$37:$B$181,0),16)),"",INDEX($A$37:$U$181,MATCH($B193,$B$37:$B$181,0),16))</f>
        <v>7</v>
      </c>
      <c r="Q193" s="51">
        <f>IF(ISNA(INDEX($A$37:$U$181,MATCH($B193,$B$37:$B$181,0),17)),"",INDEX($A$37:$U$181,MATCH($B193,$B$37:$B$181,0),17))</f>
        <v>11</v>
      </c>
      <c r="R193" s="22" t="str">
        <f>IF(ISNA(INDEX($A$37:$U$198,MATCH($B193,$B$37:$B$198,0),18)),"",INDEX($A$37:$U$198,MATCH($B193,$B$37:$B$198,0),18))</f>
        <v>E</v>
      </c>
      <c r="S193" s="22">
        <f>IF(ISNA(INDEX($A$37:$U$198,MATCH($B193,$B$37:$B$198,0),19)),"",INDEX($A$37:$U$198,MATCH($B193,$B$37:$B$198,0),19))</f>
        <v>0</v>
      </c>
      <c r="T193" s="22">
        <f>IF(ISNA(INDEX($A$37:$U$198,MATCH($B193,$B$37:$B$198,0),20)),"",INDEX($A$37:$U$198,MATCH($B193,$B$37:$B$198,0),20))</f>
        <v>0</v>
      </c>
      <c r="U193" s="22" t="str">
        <f>IF(ISNA(INDEX($A$37:$U$198,MATCH($B193,$B$37:$B$198,0),21)),"",INDEX($A$37:$U$198,MATCH($B193,$B$37:$B$198,0),21))</f>
        <v>DF</v>
      </c>
      <c r="V193" s="83"/>
      <c r="W193" s="83"/>
      <c r="X193" s="83"/>
      <c r="Y193" s="83"/>
      <c r="Z193" s="83"/>
      <c r="AA193" s="83"/>
    </row>
    <row r="194" spans="1:27" x14ac:dyDescent="0.2">
      <c r="A194" s="24" t="str">
        <f>IF(ISNA(INDEX($A$37:$U$198,MATCH($B194,$B$37:$B$198,0),1)),"",INDEX($A$37:$U$198,MATCH($B194,$B$37:$B$198,0),1))</f>
        <v>VLR3469</v>
      </c>
      <c r="B194" s="135" t="s">
        <v>160</v>
      </c>
      <c r="C194" s="135"/>
      <c r="D194" s="135"/>
      <c r="E194" s="135"/>
      <c r="F194" s="135"/>
      <c r="G194" s="135"/>
      <c r="H194" s="135"/>
      <c r="I194" s="135"/>
      <c r="J194" s="14">
        <f>IF(ISNA(INDEX($A$37:$U$198,MATCH($B194,$B$37:$B$198,0),10)),"",INDEX($A$37:$U$198,MATCH($B194,$B$37:$B$198,0),10))</f>
        <v>5</v>
      </c>
      <c r="K194" s="14">
        <f>IF(ISNA(INDEX($A$37:$U$198,MATCH($B194,$B$37:$B$198,0),11)),"",INDEX($A$37:$U$198,MATCH($B194,$B$37:$B$198,0),11))</f>
        <v>2</v>
      </c>
      <c r="L194" s="14">
        <f>IF(ISNA(INDEX($A$37:$U$198,MATCH($B194,$B$37:$B$198,0),12)),"",INDEX($A$37:$U$198,MATCH($B194,$B$37:$B$198,0),12))</f>
        <v>1</v>
      </c>
      <c r="M194" s="14">
        <f>IF(ISNA(INDEX($A$37:$U$198,MATCH($B194,$B$37:$B$198,0),13)),"",INDEX($A$37:$U$198,MATCH($B194,$B$37:$B$198,0),13))</f>
        <v>0</v>
      </c>
      <c r="N194" s="51">
        <f>IF(ISNA(INDEX($A$37:$U$198,MATCH($B194,$B$37:$B$198,0),14)),"",INDEX($A$37:$U$198,MATCH($B194,$B$37:$B$198,0),14))</f>
        <v>0</v>
      </c>
      <c r="O194" s="51">
        <f>IF(ISNA(INDEX($A$37:$U$181,MATCH($B194,$B$37:$B$181,0),15)),"",INDEX($A$37:$U$181,MATCH($B194,$B$37:$B$181,0),15))</f>
        <v>3</v>
      </c>
      <c r="P194" s="51">
        <f>IF(ISNA(INDEX($A$37:$U$181,MATCH($B194,$B$37:$B$181,0),16)),"",INDEX($A$37:$U$181,MATCH($B194,$B$37:$B$181,0),16))</f>
        <v>6</v>
      </c>
      <c r="Q194" s="51">
        <f>IF(ISNA(INDEX($A$37:$U$181,MATCH($B194,$B$37:$B$181,0),17)),"",INDEX($A$37:$U$181,MATCH($B194,$B$37:$B$181,0),17))</f>
        <v>9</v>
      </c>
      <c r="R194" s="22" t="str">
        <f>IF(ISNA(INDEX($A$37:$U$198,MATCH($B194,$B$37:$B$198,0),18)),"",INDEX($A$37:$U$198,MATCH($B194,$B$37:$B$198,0),18))</f>
        <v>E</v>
      </c>
      <c r="S194" s="22">
        <f>IF(ISNA(INDEX($A$37:$U$198,MATCH($B194,$B$37:$B$198,0),19)),"",INDEX($A$37:$U$198,MATCH($B194,$B$37:$B$198,0),19))</f>
        <v>0</v>
      </c>
      <c r="T194" s="22">
        <f>IF(ISNA(INDEX($A$37:$U$198,MATCH($B194,$B$37:$B$198,0),20)),"",INDEX($A$37:$U$198,MATCH($B194,$B$37:$B$198,0),20))</f>
        <v>0</v>
      </c>
      <c r="U194" s="22" t="str">
        <f>IF(ISNA(INDEX($A$37:$U$198,MATCH($B194,$B$37:$B$198,0),21)),"",INDEX($A$37:$U$198,MATCH($B194,$B$37:$B$198,0),21))</f>
        <v>DF</v>
      </c>
      <c r="V194" s="83"/>
      <c r="W194" s="83"/>
      <c r="X194" s="83"/>
      <c r="Y194" s="83"/>
      <c r="Z194" s="83"/>
      <c r="AA194" s="83"/>
    </row>
    <row r="195" spans="1:27" s="40" customFormat="1" x14ac:dyDescent="0.2">
      <c r="A195" s="24" t="str">
        <f>IF(ISNA(INDEX($A$37:$U$198,MATCH($B195,$B$37:$B$198,0),1)),"",INDEX($A$37:$U$198,MATCH($B195,$B$37:$B$198,0),1))</f>
        <v>VLR3439</v>
      </c>
      <c r="B195" s="135" t="s">
        <v>166</v>
      </c>
      <c r="C195" s="135"/>
      <c r="D195" s="135"/>
      <c r="E195" s="135"/>
      <c r="F195" s="135"/>
      <c r="G195" s="135"/>
      <c r="H195" s="135"/>
      <c r="I195" s="135"/>
      <c r="J195" s="14">
        <f>IF(ISNA(INDEX($A$37:$U$198,MATCH($B195,$B$37:$B$198,0),10)),"",INDEX($A$37:$U$198,MATCH($B195,$B$37:$B$198,0),10))</f>
        <v>6</v>
      </c>
      <c r="K195" s="14">
        <f>IF(ISNA(INDEX($A$37:$U$198,MATCH($B195,$B$37:$B$198,0),11)),"",INDEX($A$37:$U$198,MATCH($B195,$B$37:$B$198,0),11))</f>
        <v>2</v>
      </c>
      <c r="L195" s="14">
        <f>IF(ISNA(INDEX($A$37:$U$198,MATCH($B195,$B$37:$B$198,0),12)),"",INDEX($A$37:$U$198,MATCH($B195,$B$37:$B$198,0),12))</f>
        <v>2</v>
      </c>
      <c r="M195" s="14">
        <f>IF(ISNA(INDEX($A$37:$U$198,MATCH($B195,$B$37:$B$198,0),13)),"",INDEX($A$37:$U$198,MATCH($B195,$B$37:$B$198,0),13))</f>
        <v>0</v>
      </c>
      <c r="N195" s="51">
        <f>IF(ISNA(INDEX($A$37:$U$198,MATCH($B195,$B$37:$B$198,0),14)),"",INDEX($A$37:$U$198,MATCH($B195,$B$37:$B$198,0),14))</f>
        <v>0</v>
      </c>
      <c r="O195" s="51">
        <f>IF(ISNA(INDEX($A$37:$U$181,MATCH($B195,$B$37:$B$181,0),15)),"",INDEX($A$37:$U$181,MATCH($B195,$B$37:$B$181,0),15))</f>
        <v>4</v>
      </c>
      <c r="P195" s="51">
        <f>IF(ISNA(INDEX($A$37:$U$181,MATCH($B195,$B$37:$B$181,0),16)),"",INDEX($A$37:$U$181,MATCH($B195,$B$37:$B$181,0),16))</f>
        <v>7</v>
      </c>
      <c r="Q195" s="51">
        <f>IF(ISNA(INDEX($A$37:$U$181,MATCH($B195,$B$37:$B$181,0),17)),"",INDEX($A$37:$U$181,MATCH($B195,$B$37:$B$181,0),17))</f>
        <v>11</v>
      </c>
      <c r="R195" s="22" t="str">
        <f>IF(ISNA(INDEX($A$37:$U$198,MATCH($B195,$B$37:$B$198,0),18)),"",INDEX($A$37:$U$198,MATCH($B195,$B$37:$B$198,0),18))</f>
        <v>E</v>
      </c>
      <c r="S195" s="22">
        <f>IF(ISNA(INDEX($A$37:$U$198,MATCH($B195,$B$37:$B$198,0),19)),"",INDEX($A$37:$U$198,MATCH($B195,$B$37:$B$198,0),19))</f>
        <v>0</v>
      </c>
      <c r="T195" s="22">
        <f>IF(ISNA(INDEX($A$37:$U$198,MATCH($B195,$B$37:$B$198,0),20)),"",INDEX($A$37:$U$198,MATCH($B195,$B$37:$B$198,0),20))</f>
        <v>0</v>
      </c>
      <c r="U195" s="22" t="str">
        <f>IF(ISNA(INDEX($A$37:$U$198,MATCH($B195,$B$37:$B$198,0),21)),"",INDEX($A$37:$U$198,MATCH($B195,$B$37:$B$198,0),21))</f>
        <v>DF</v>
      </c>
      <c r="V195" s="83"/>
      <c r="W195" s="83"/>
      <c r="X195" s="83"/>
      <c r="Y195" s="83"/>
      <c r="Z195" s="83"/>
      <c r="AA195" s="83"/>
    </row>
    <row r="196" spans="1:27" x14ac:dyDescent="0.2">
      <c r="A196" s="24" t="str">
        <f>IF(ISNA(INDEX($A$37:$U$198,MATCH($B196,$B$37:$B$198,0),1)),"",INDEX($A$37:$U$198,MATCH($B196,$B$37:$B$198,0),1))</f>
        <v>VLR4469</v>
      </c>
      <c r="B196" s="135" t="s">
        <v>172</v>
      </c>
      <c r="C196" s="135"/>
      <c r="D196" s="135"/>
      <c r="E196" s="135"/>
      <c r="F196" s="135"/>
      <c r="G196" s="135"/>
      <c r="H196" s="135"/>
      <c r="I196" s="135"/>
      <c r="J196" s="14">
        <f>IF(ISNA(INDEX($A$37:$U$198,MATCH($B196,$B$37:$B$198,0),10)),"",INDEX($A$37:$U$198,MATCH($B196,$B$37:$B$198,0),10))</f>
        <v>4</v>
      </c>
      <c r="K196" s="14">
        <f>IF(ISNA(INDEX($A$37:$U$198,MATCH($B196,$B$37:$B$198,0),11)),"",INDEX($A$37:$U$198,MATCH($B196,$B$37:$B$198,0),11))</f>
        <v>2</v>
      </c>
      <c r="L196" s="14">
        <f>IF(ISNA(INDEX($A$37:$U$198,MATCH($B196,$B$37:$B$198,0),12)),"",INDEX($A$37:$U$198,MATCH($B196,$B$37:$B$198,0),12))</f>
        <v>1</v>
      </c>
      <c r="M196" s="14">
        <f>IF(ISNA(INDEX($A$37:$U$198,MATCH($B196,$B$37:$B$198,0),13)),"",INDEX($A$37:$U$198,MATCH($B196,$B$37:$B$198,0),13))</f>
        <v>0</v>
      </c>
      <c r="N196" s="51">
        <f>IF(ISNA(INDEX($A$37:$U$198,MATCH($B196,$B$37:$B$198,0),14)),"",INDEX($A$37:$U$198,MATCH($B196,$B$37:$B$198,0),14))</f>
        <v>0</v>
      </c>
      <c r="O196" s="51">
        <f>IF(ISNA(INDEX($A$37:$U$181,MATCH($B196,$B$37:$B$181,0),15)),"",INDEX($A$37:$U$181,MATCH($B196,$B$37:$B$181,0),15))</f>
        <v>3</v>
      </c>
      <c r="P196" s="51">
        <f>IF(ISNA(INDEX($A$37:$U$181,MATCH($B196,$B$37:$B$181,0),16)),"",INDEX($A$37:$U$181,MATCH($B196,$B$37:$B$181,0),16))</f>
        <v>4</v>
      </c>
      <c r="Q196" s="51">
        <f>IF(ISNA(INDEX($A$37:$U$181,MATCH($B196,$B$37:$B$181,0),17)),"",INDEX($A$37:$U$181,MATCH($B196,$B$37:$B$181,0),17))</f>
        <v>7</v>
      </c>
      <c r="R196" s="22" t="str">
        <f>IF(ISNA(INDEX($A$37:$U$198,MATCH($B196,$B$37:$B$198,0),18)),"",INDEX($A$37:$U$198,MATCH($B196,$B$37:$B$198,0),18))</f>
        <v>E</v>
      </c>
      <c r="S196" s="22">
        <f>IF(ISNA(INDEX($A$37:$U$198,MATCH($B196,$B$37:$B$198,0),19)),"",INDEX($A$37:$U$198,MATCH($B196,$B$37:$B$198,0),19))</f>
        <v>0</v>
      </c>
      <c r="T196" s="22">
        <f>IF(ISNA(INDEX($A$37:$U$198,MATCH($B196,$B$37:$B$198,0),20)),"",INDEX($A$37:$U$198,MATCH($B196,$B$37:$B$198,0),20))</f>
        <v>0</v>
      </c>
      <c r="U196" s="22" t="str">
        <f>IF(ISNA(INDEX($A$37:$U$198,MATCH($B196,$B$37:$B$198,0),21)),"",INDEX($A$37:$U$198,MATCH($B196,$B$37:$B$198,0),21))</f>
        <v>DF</v>
      </c>
      <c r="V196" s="83"/>
      <c r="W196" s="83"/>
      <c r="X196" s="83"/>
      <c r="Y196" s="83"/>
      <c r="Z196" s="83"/>
      <c r="AA196" s="83"/>
    </row>
    <row r="197" spans="1:27" x14ac:dyDescent="0.2">
      <c r="A197" s="24" t="str">
        <f>IF(ISNA(INDEX($A$37:$U$198,MATCH($B197,$B$37:$B$198,0),1)),"",INDEX($A$37:$U$198,MATCH($B197,$B$37:$B$198,0),1))</f>
        <v>VLR4665</v>
      </c>
      <c r="B197" s="135" t="s">
        <v>180</v>
      </c>
      <c r="C197" s="135"/>
      <c r="D197" s="135"/>
      <c r="E197" s="135"/>
      <c r="F197" s="135"/>
      <c r="G197" s="135"/>
      <c r="H197" s="135"/>
      <c r="I197" s="135"/>
      <c r="J197" s="14">
        <f>IF(ISNA(INDEX($A$37:$U$198,MATCH($B197,$B$37:$B$198,0),10)),"",INDEX($A$37:$U$198,MATCH($B197,$B$37:$B$198,0),10))</f>
        <v>5</v>
      </c>
      <c r="K197" s="14">
        <f>IF(ISNA(INDEX($A$37:$U$198,MATCH($B197,$B$37:$B$198,0),11)),"",INDEX($A$37:$U$198,MATCH($B197,$B$37:$B$198,0),11))</f>
        <v>2</v>
      </c>
      <c r="L197" s="14">
        <f>IF(ISNA(INDEX($A$37:$U$198,MATCH($B197,$B$37:$B$198,0),12)),"",INDEX($A$37:$U$198,MATCH($B197,$B$37:$B$198,0),12))</f>
        <v>2</v>
      </c>
      <c r="M197" s="14">
        <f>IF(ISNA(INDEX($A$37:$U$198,MATCH($B197,$B$37:$B$198,0),13)),"",INDEX($A$37:$U$198,MATCH($B197,$B$37:$B$198,0),13))</f>
        <v>0</v>
      </c>
      <c r="N197" s="51">
        <f>IF(ISNA(INDEX($A$37:$U$198,MATCH($B197,$B$37:$B$198,0),14)),"",INDEX($A$37:$U$198,MATCH($B197,$B$37:$B$198,0),14))</f>
        <v>0</v>
      </c>
      <c r="O197" s="51">
        <f>IF(ISNA(INDEX($A$37:$U$181,MATCH($B197,$B$37:$B$181,0),15)),"",INDEX($A$37:$U$181,MATCH($B197,$B$37:$B$181,0),15))</f>
        <v>4</v>
      </c>
      <c r="P197" s="51">
        <f>IF(ISNA(INDEX($A$37:$U$181,MATCH($B197,$B$37:$B$181,0),16)),"",INDEX($A$37:$U$181,MATCH($B197,$B$37:$B$181,0),16))</f>
        <v>5</v>
      </c>
      <c r="Q197" s="51">
        <f>IF(ISNA(INDEX($A$37:$U$181,MATCH($B197,$B$37:$B$181,0),17)),"",INDEX($A$37:$U$181,MATCH($B197,$B$37:$B$181,0),17))</f>
        <v>9</v>
      </c>
      <c r="R197" s="22" t="str">
        <f>IF(ISNA(INDEX($A$37:$U$198,MATCH($B197,$B$37:$B$198,0),18)),"",INDEX($A$37:$U$198,MATCH($B197,$B$37:$B$198,0),18))</f>
        <v>E</v>
      </c>
      <c r="S197" s="22">
        <f>IF(ISNA(INDEX($A$37:$U$198,MATCH($B197,$B$37:$B$198,0),19)),"",INDEX($A$37:$U$198,MATCH($B197,$B$37:$B$198,0),19))</f>
        <v>0</v>
      </c>
      <c r="T197" s="22">
        <f>IF(ISNA(INDEX($A$37:$U$198,MATCH($B197,$B$37:$B$198,0),20)),"",INDEX($A$37:$U$198,MATCH($B197,$B$37:$B$198,0),20))</f>
        <v>0</v>
      </c>
      <c r="U197" s="22" t="str">
        <f>IF(ISNA(INDEX($A$37:$U$198,MATCH($B197,$B$37:$B$198,0),21)),"",INDEX($A$37:$U$198,MATCH($B197,$B$37:$B$198,0),21))</f>
        <v>DF</v>
      </c>
      <c r="V197" s="83"/>
      <c r="W197" s="83"/>
      <c r="X197" s="83"/>
      <c r="Y197" s="83"/>
      <c r="Z197" s="83"/>
      <c r="AA197" s="83"/>
    </row>
    <row r="198" spans="1:27" x14ac:dyDescent="0.2">
      <c r="A198" s="24" t="str">
        <f>IF(ISNA(INDEX($A$37:$U$198,MATCH($B198,$B$37:$B$198,0),1)),"",INDEX($A$37:$U$198,MATCH($B198,$B$37:$B$198,0),1))</f>
        <v>VLR5468</v>
      </c>
      <c r="B198" s="135" t="s">
        <v>187</v>
      </c>
      <c r="C198" s="135"/>
      <c r="D198" s="135"/>
      <c r="E198" s="135"/>
      <c r="F198" s="135"/>
      <c r="G198" s="135"/>
      <c r="H198" s="135"/>
      <c r="I198" s="135"/>
      <c r="J198" s="14">
        <f>IF(ISNA(INDEX($A$37:$U$198,MATCH($B198,$B$37:$B$198,0),10)),"",INDEX($A$37:$U$198,MATCH($B198,$B$37:$B$198,0),10))</f>
        <v>5</v>
      </c>
      <c r="K198" s="14">
        <f>IF(ISNA(INDEX($A$37:$U$198,MATCH($B198,$B$37:$B$198,0),11)),"",INDEX($A$37:$U$198,MATCH($B198,$B$37:$B$198,0),11))</f>
        <v>2</v>
      </c>
      <c r="L198" s="14">
        <f>IF(ISNA(INDEX($A$37:$U$198,MATCH($B198,$B$37:$B$198,0),12)),"",INDEX($A$37:$U$198,MATCH($B198,$B$37:$B$198,0),12))</f>
        <v>2</v>
      </c>
      <c r="M198" s="14">
        <f>IF(ISNA(INDEX($A$37:$U$198,MATCH($B198,$B$37:$B$198,0),13)),"",INDEX($A$37:$U$198,MATCH($B198,$B$37:$B$198,0),13))</f>
        <v>0</v>
      </c>
      <c r="N198" s="51">
        <f>IF(ISNA(INDEX($A$37:$U$198,MATCH($B198,$B$37:$B$198,0),14)),"",INDEX($A$37:$U$198,MATCH($B198,$B$37:$B$198,0),14))</f>
        <v>0</v>
      </c>
      <c r="O198" s="51">
        <f>IF(ISNA(INDEX($A$37:$U$181,MATCH($B198,$B$37:$B$181,0),15)),"",INDEX($A$37:$U$181,MATCH($B198,$B$37:$B$181,0),15))</f>
        <v>4</v>
      </c>
      <c r="P198" s="51">
        <f>IF(ISNA(INDEX($A$37:$U$181,MATCH($B198,$B$37:$B$181,0),16)),"",INDEX($A$37:$U$181,MATCH($B198,$B$37:$B$181,0),16))</f>
        <v>5</v>
      </c>
      <c r="Q198" s="51">
        <f>IF(ISNA(INDEX($A$37:$U$181,MATCH($B198,$B$37:$B$181,0),17)),"",INDEX($A$37:$U$181,MATCH($B198,$B$37:$B$181,0),17))</f>
        <v>9</v>
      </c>
      <c r="R198" s="22" t="str">
        <f>IF(ISNA(INDEX($A$37:$U$198,MATCH($B198,$B$37:$B$198,0),18)),"",INDEX($A$37:$U$198,MATCH($B198,$B$37:$B$198,0),18))</f>
        <v>E</v>
      </c>
      <c r="S198" s="22">
        <f>IF(ISNA(INDEX($A$37:$U$198,MATCH($B198,$B$37:$B$198,0),19)),"",INDEX($A$37:$U$198,MATCH($B198,$B$37:$B$198,0),19))</f>
        <v>0</v>
      </c>
      <c r="T198" s="22">
        <f>IF(ISNA(INDEX($A$37:$U$198,MATCH($B198,$B$37:$B$198,0),20)),"",INDEX($A$37:$U$198,MATCH($B198,$B$37:$B$198,0),20))</f>
        <v>0</v>
      </c>
      <c r="U198" s="22" t="str">
        <f>IF(ISNA(INDEX($A$37:$U$198,MATCH($B198,$B$37:$B$198,0),21)),"",INDEX($A$37:$U$198,MATCH($B198,$B$37:$B$198,0),21))</f>
        <v>DF</v>
      </c>
      <c r="V198" s="83"/>
      <c r="W198" s="83"/>
      <c r="X198" s="83"/>
      <c r="Y198" s="83"/>
      <c r="Z198" s="83"/>
      <c r="AA198" s="83"/>
    </row>
    <row r="199" spans="1:27" hidden="1" x14ac:dyDescent="0.2">
      <c r="A199" s="62" t="s">
        <v>28</v>
      </c>
      <c r="B199" s="130"/>
      <c r="C199" s="130"/>
      <c r="D199" s="130"/>
      <c r="E199" s="130"/>
      <c r="F199" s="130"/>
      <c r="G199" s="130"/>
      <c r="H199" s="130"/>
      <c r="I199" s="130"/>
      <c r="J199" s="17">
        <f>IF(ISNA(SUM(J190:J198)),"",SUM(J190:J198))</f>
        <v>46</v>
      </c>
      <c r="K199" s="17">
        <f t="shared" ref="K199:Q199" si="46">SUM(K190:K198)</f>
        <v>18</v>
      </c>
      <c r="L199" s="17">
        <f t="shared" si="46"/>
        <v>14</v>
      </c>
      <c r="M199" s="17">
        <f t="shared" si="46"/>
        <v>2</v>
      </c>
      <c r="N199" s="53">
        <f t="shared" si="46"/>
        <v>0</v>
      </c>
      <c r="O199" s="53">
        <f t="shared" si="46"/>
        <v>34</v>
      </c>
      <c r="P199" s="53">
        <f t="shared" si="46"/>
        <v>49</v>
      </c>
      <c r="Q199" s="53">
        <f t="shared" si="46"/>
        <v>83</v>
      </c>
      <c r="R199" s="62">
        <f>COUNTIF(R190:R198,"E")</f>
        <v>9</v>
      </c>
      <c r="S199" s="62">
        <f>COUNTIF(S190:S198,"C")</f>
        <v>0</v>
      </c>
      <c r="T199" s="62">
        <f>COUNTIF(T190:T198,"VP")</f>
        <v>0</v>
      </c>
      <c r="U199" s="63">
        <f>COUNTA(U190:U198)</f>
        <v>9</v>
      </c>
      <c r="V199" s="84"/>
      <c r="W199" s="84"/>
      <c r="X199" s="84"/>
      <c r="Y199" s="84"/>
      <c r="Z199" s="84"/>
      <c r="AA199" s="84"/>
    </row>
    <row r="200" spans="1:27" hidden="1" x14ac:dyDescent="0.2">
      <c r="A200" s="131" t="s">
        <v>75</v>
      </c>
      <c r="B200" s="131"/>
      <c r="C200" s="131"/>
      <c r="D200" s="131"/>
      <c r="E200" s="131"/>
      <c r="F200" s="131"/>
      <c r="G200" s="131"/>
      <c r="H200" s="131"/>
      <c r="I200" s="131"/>
      <c r="J200" s="131"/>
      <c r="K200" s="131"/>
      <c r="L200" s="131"/>
      <c r="M200" s="131"/>
      <c r="N200" s="131"/>
      <c r="O200" s="131"/>
      <c r="P200" s="131"/>
      <c r="Q200" s="131"/>
      <c r="R200" s="131"/>
      <c r="S200" s="131"/>
      <c r="T200" s="131"/>
      <c r="U200" s="131"/>
      <c r="V200" s="84"/>
      <c r="W200" s="84"/>
      <c r="X200" s="84"/>
      <c r="Y200" s="84"/>
      <c r="Z200" s="84"/>
      <c r="AA200" s="84"/>
    </row>
    <row r="201" spans="1:27" hidden="1" x14ac:dyDescent="0.2">
      <c r="A201" s="24" t="str">
        <f>IF(ISNA(INDEX($A$37:$U$181,MATCH($B201,$B$37:$B$181,0),1)),"",INDEX($A$37:$U$181,MATCH($B201,$B$37:$B$181,0),1))</f>
        <v/>
      </c>
      <c r="B201" s="135"/>
      <c r="C201" s="135"/>
      <c r="D201" s="135"/>
      <c r="E201" s="135"/>
      <c r="F201" s="135"/>
      <c r="G201" s="135"/>
      <c r="H201" s="135"/>
      <c r="I201" s="135"/>
      <c r="J201" s="14" t="str">
        <f>IF(ISNA(INDEX($A$37:$U$181,MATCH($B201,$B$37:$B$181,0),10)),"",INDEX($A$37:$U$181,MATCH($B201,$B$37:$B$181,0),10))</f>
        <v/>
      </c>
      <c r="K201" s="14" t="str">
        <f>IF(ISNA(INDEX($A$37:$U$181,MATCH($B201,$B$37:$B$181,0),11)),"",INDEX($A$37:$U$181,MATCH($B201,$B$37:$B$181,0),11))</f>
        <v/>
      </c>
      <c r="L201" s="14" t="str">
        <f>IF(ISNA(INDEX($A$37:$U$181,MATCH($B201,$B$37:$B$181,0),12)),"",INDEX($A$37:$U$181,MATCH($B201,$B$37:$B$181,0),12))</f>
        <v/>
      </c>
      <c r="M201" s="14" t="str">
        <f>IF(ISNA(INDEX($A$37:$U$181,MATCH($B201,$B$37:$B$181,0),13)),"",INDEX($A$37:$U$181,MATCH($B201,$B$37:$B$181,0),13))</f>
        <v/>
      </c>
      <c r="N201" s="14" t="str">
        <f>IF(ISNA(INDEX($A$37:$U$181,MATCH($B201,$B$37:$B$181,0),14)),"",INDEX($A$37:$U$181,MATCH($B201,$B$37:$B$181,0),14))</f>
        <v/>
      </c>
      <c r="O201" s="14" t="str">
        <f>IF(ISNA(INDEX($A$37:$U$181,MATCH($B201,$B$37:$B$181,0),15)),"",INDEX($A$37:$U$181,MATCH($B201,$B$37:$B$181,0),15))</f>
        <v/>
      </c>
      <c r="P201" s="14" t="str">
        <f>IF(ISNA(INDEX($A$37:$U$181,MATCH($B201,$B$37:$B$181,0),16)),"",INDEX($A$37:$U$181,MATCH($B201,$B$37:$B$181,0),16))</f>
        <v/>
      </c>
      <c r="Q201" s="14" t="str">
        <f>IF(ISNA(INDEX($A$37:$U$181,MATCH($B201,$B$37:$B$181,0),17)),"",INDEX($A$37:$U$181,MATCH($B201,$B$37:$B$181,0),17))</f>
        <v/>
      </c>
      <c r="R201" s="22" t="str">
        <f>IF(ISNA(INDEX($A$37:$U$181,MATCH($B201,$B$37:$B$181,0),18)),"",INDEX($A$37:$U$181,MATCH($B201,$B$37:$B$181,0),18))</f>
        <v/>
      </c>
      <c r="S201" s="22" t="str">
        <f>IF(ISNA(INDEX($A$37:$U$181,MATCH($B201,$B$37:$B$181,0),19)),"",INDEX($A$37:$U$181,MATCH($B201,$B$37:$B$181,0),19))</f>
        <v/>
      </c>
      <c r="T201" s="22" t="str">
        <f>IF(ISNA(INDEX($A$37:$U$181,MATCH($B201,$B$37:$B$181,0),20)),"",INDEX($A$37:$U$181,MATCH($B201,$B$37:$B$181,0),20))</f>
        <v/>
      </c>
      <c r="U201" s="22" t="str">
        <f>IF(ISNA(INDEX($A$37:$U$181,MATCH($B201,$B$37:$B$181,0),21)),"",INDEX($A$37:$U$181,MATCH($B201,$B$37:$B$181,0),21))</f>
        <v/>
      </c>
      <c r="V201" s="84"/>
      <c r="W201" s="84"/>
      <c r="X201" s="84"/>
      <c r="Y201" s="84"/>
      <c r="Z201" s="84"/>
      <c r="AA201" s="84"/>
    </row>
    <row r="202" spans="1:27" hidden="1" x14ac:dyDescent="0.2">
      <c r="A202" s="62" t="s">
        <v>28</v>
      </c>
      <c r="B202" s="131"/>
      <c r="C202" s="131"/>
      <c r="D202" s="131"/>
      <c r="E202" s="131"/>
      <c r="F202" s="131"/>
      <c r="G202" s="131"/>
      <c r="H202" s="131"/>
      <c r="I202" s="131"/>
      <c r="J202" s="17">
        <f t="shared" ref="J202:Q202" si="47">SUM(J201:J201)</f>
        <v>0</v>
      </c>
      <c r="K202" s="17">
        <f t="shared" si="47"/>
        <v>0</v>
      </c>
      <c r="L202" s="17">
        <f t="shared" si="47"/>
        <v>0</v>
      </c>
      <c r="M202" s="17">
        <f t="shared" si="47"/>
        <v>0</v>
      </c>
      <c r="N202" s="53">
        <f t="shared" si="47"/>
        <v>0</v>
      </c>
      <c r="O202" s="53">
        <f t="shared" si="47"/>
        <v>0</v>
      </c>
      <c r="P202" s="53">
        <f t="shared" si="47"/>
        <v>0</v>
      </c>
      <c r="Q202" s="53">
        <f t="shared" si="47"/>
        <v>0</v>
      </c>
      <c r="R202" s="62">
        <f>COUNTIF(R201:R201,"E")</f>
        <v>0</v>
      </c>
      <c r="S202" s="62">
        <f>COUNTIF(S201:S201,"C")</f>
        <v>0</v>
      </c>
      <c r="T202" s="62">
        <f>COUNTIF(T201:T201,"VP")</f>
        <v>0</v>
      </c>
      <c r="U202" s="63">
        <v>0</v>
      </c>
      <c r="V202" s="84"/>
      <c r="W202" s="84"/>
      <c r="X202" s="84"/>
      <c r="Y202" s="84"/>
      <c r="Z202" s="84"/>
      <c r="AA202" s="84"/>
    </row>
    <row r="203" spans="1:27" ht="29.25" customHeight="1" x14ac:dyDescent="0.2">
      <c r="A203" s="283" t="s">
        <v>110</v>
      </c>
      <c r="B203" s="284"/>
      <c r="C203" s="284"/>
      <c r="D203" s="284"/>
      <c r="E203" s="284"/>
      <c r="F203" s="284"/>
      <c r="G203" s="284"/>
      <c r="H203" s="284"/>
      <c r="I203" s="285"/>
      <c r="J203" s="17">
        <f t="shared" ref="J203:U203" si="48">SUM(J199,J202)</f>
        <v>46</v>
      </c>
      <c r="K203" s="17">
        <f t="shared" si="48"/>
        <v>18</v>
      </c>
      <c r="L203" s="17">
        <f t="shared" si="48"/>
        <v>14</v>
      </c>
      <c r="M203" s="17">
        <f t="shared" si="48"/>
        <v>2</v>
      </c>
      <c r="N203" s="53">
        <f t="shared" si="48"/>
        <v>0</v>
      </c>
      <c r="O203" s="53">
        <f t="shared" si="48"/>
        <v>34</v>
      </c>
      <c r="P203" s="53">
        <f t="shared" si="48"/>
        <v>49</v>
      </c>
      <c r="Q203" s="53">
        <f t="shared" si="48"/>
        <v>83</v>
      </c>
      <c r="R203" s="17">
        <f t="shared" si="48"/>
        <v>9</v>
      </c>
      <c r="S203" s="17">
        <f t="shared" si="48"/>
        <v>0</v>
      </c>
      <c r="T203" s="17">
        <f t="shared" si="48"/>
        <v>0</v>
      </c>
      <c r="U203" s="86">
        <f t="shared" si="48"/>
        <v>9</v>
      </c>
      <c r="V203" s="84"/>
      <c r="W203" s="84"/>
      <c r="X203" s="84"/>
      <c r="Y203" s="84"/>
      <c r="Z203" s="84"/>
      <c r="AA203" s="84"/>
    </row>
    <row r="204" spans="1:27" ht="15.75" customHeight="1" x14ac:dyDescent="0.2">
      <c r="A204" s="139" t="s">
        <v>53</v>
      </c>
      <c r="B204" s="140"/>
      <c r="C204" s="140"/>
      <c r="D204" s="140"/>
      <c r="E204" s="140"/>
      <c r="F204" s="140"/>
      <c r="G204" s="140"/>
      <c r="H204" s="140"/>
      <c r="I204" s="140"/>
      <c r="J204" s="141"/>
      <c r="K204" s="17">
        <f t="shared" ref="K204:Q204" si="49">K199*14+K202*12</f>
        <v>252</v>
      </c>
      <c r="L204" s="17">
        <f t="shared" si="49"/>
        <v>196</v>
      </c>
      <c r="M204" s="17">
        <f t="shared" si="49"/>
        <v>28</v>
      </c>
      <c r="N204" s="53">
        <f t="shared" si="49"/>
        <v>0</v>
      </c>
      <c r="O204" s="53">
        <f t="shared" si="49"/>
        <v>476</v>
      </c>
      <c r="P204" s="53">
        <f t="shared" si="49"/>
        <v>686</v>
      </c>
      <c r="Q204" s="53">
        <f t="shared" si="49"/>
        <v>1162</v>
      </c>
      <c r="R204" s="121"/>
      <c r="S204" s="122"/>
      <c r="T204" s="122"/>
      <c r="U204" s="123"/>
    </row>
    <row r="205" spans="1:27" ht="15" customHeight="1" x14ac:dyDescent="0.2">
      <c r="A205" s="142"/>
      <c r="B205" s="143"/>
      <c r="C205" s="143"/>
      <c r="D205" s="143"/>
      <c r="E205" s="143"/>
      <c r="F205" s="143"/>
      <c r="G205" s="143"/>
      <c r="H205" s="143"/>
      <c r="I205" s="143"/>
      <c r="J205" s="144"/>
      <c r="K205" s="127">
        <f>SUM(K204:N204)</f>
        <v>476</v>
      </c>
      <c r="L205" s="128"/>
      <c r="M205" s="128"/>
      <c r="N205" s="129"/>
      <c r="O205" s="127">
        <f>SUM(O204:P204)</f>
        <v>1162</v>
      </c>
      <c r="P205" s="128"/>
      <c r="Q205" s="129"/>
      <c r="R205" s="124"/>
      <c r="S205" s="125"/>
      <c r="T205" s="125"/>
      <c r="U205" s="126"/>
    </row>
    <row r="206" spans="1:27" ht="16.5" customHeight="1" x14ac:dyDescent="0.2">
      <c r="A206" s="117" t="s">
        <v>111</v>
      </c>
      <c r="B206" s="117"/>
      <c r="C206" s="117"/>
      <c r="D206" s="117"/>
      <c r="E206" s="117"/>
      <c r="F206" s="117"/>
      <c r="G206" s="117"/>
      <c r="H206" s="117"/>
      <c r="I206" s="117"/>
      <c r="J206" s="117"/>
      <c r="K206" s="111">
        <f>U203/SUM(U48,U63,U82,U101,U117,U131)</f>
        <v>0.21428571428571427</v>
      </c>
      <c r="L206" s="112"/>
      <c r="M206" s="112"/>
      <c r="N206" s="112"/>
      <c r="O206" s="112"/>
      <c r="P206" s="112"/>
      <c r="Q206" s="112"/>
      <c r="R206" s="112"/>
      <c r="S206" s="112"/>
      <c r="T206" s="112"/>
      <c r="U206" s="113"/>
    </row>
    <row r="207" spans="1:27" s="54" customFormat="1" ht="17.25" customHeight="1" x14ac:dyDescent="0.2">
      <c r="A207" s="118" t="s">
        <v>112</v>
      </c>
      <c r="B207" s="119"/>
      <c r="C207" s="119"/>
      <c r="D207" s="119"/>
      <c r="E207" s="119"/>
      <c r="F207" s="119"/>
      <c r="G207" s="119"/>
      <c r="H207" s="119"/>
      <c r="I207" s="119"/>
      <c r="J207" s="120"/>
      <c r="K207" s="111">
        <f>K205/(SUM(O48,O63,O82,O101,O117)*14+O131*12)</f>
        <v>0.2557764642665234</v>
      </c>
      <c r="L207" s="112"/>
      <c r="M207" s="112"/>
      <c r="N207" s="112"/>
      <c r="O207" s="112"/>
      <c r="P207" s="112"/>
      <c r="Q207" s="112"/>
      <c r="R207" s="112"/>
      <c r="S207" s="112"/>
      <c r="T207" s="112"/>
      <c r="U207" s="113"/>
    </row>
    <row r="209" spans="1:27" ht="24.75" customHeight="1" x14ac:dyDescent="0.2">
      <c r="A209" s="188" t="s">
        <v>117</v>
      </c>
      <c r="B209" s="189"/>
      <c r="C209" s="189"/>
      <c r="D209" s="189"/>
      <c r="E209" s="189"/>
      <c r="F209" s="189"/>
      <c r="G209" s="189"/>
      <c r="H209" s="189"/>
      <c r="I209" s="189"/>
      <c r="J209" s="189"/>
      <c r="K209" s="189"/>
      <c r="L209" s="189"/>
      <c r="M209" s="189"/>
      <c r="N209" s="189"/>
      <c r="O209" s="189"/>
      <c r="P209" s="189"/>
      <c r="Q209" s="189"/>
      <c r="R209" s="189"/>
      <c r="S209" s="189"/>
      <c r="T209" s="189"/>
      <c r="U209" s="190"/>
    </row>
    <row r="210" spans="1:27" ht="27.75" customHeight="1" x14ac:dyDescent="0.2">
      <c r="A210" s="131" t="s">
        <v>30</v>
      </c>
      <c r="B210" s="131" t="s">
        <v>29</v>
      </c>
      <c r="C210" s="131"/>
      <c r="D210" s="131"/>
      <c r="E210" s="131"/>
      <c r="F210" s="131"/>
      <c r="G210" s="131"/>
      <c r="H210" s="131"/>
      <c r="I210" s="131"/>
      <c r="J210" s="145" t="s">
        <v>43</v>
      </c>
      <c r="K210" s="145" t="s">
        <v>27</v>
      </c>
      <c r="L210" s="145"/>
      <c r="M210" s="145"/>
      <c r="N210" s="145"/>
      <c r="O210" s="145" t="s">
        <v>44</v>
      </c>
      <c r="P210" s="145"/>
      <c r="Q210" s="145"/>
      <c r="R210" s="145" t="s">
        <v>26</v>
      </c>
      <c r="S210" s="145"/>
      <c r="T210" s="145"/>
      <c r="U210" s="145" t="s">
        <v>25</v>
      </c>
      <c r="V210" s="65"/>
      <c r="W210" s="65"/>
      <c r="X210" s="65"/>
      <c r="Y210" s="65"/>
      <c r="Z210" s="65"/>
      <c r="AA210" s="84"/>
    </row>
    <row r="211" spans="1:27" ht="16.5" customHeight="1" x14ac:dyDescent="0.2">
      <c r="A211" s="131"/>
      <c r="B211" s="131"/>
      <c r="C211" s="131"/>
      <c r="D211" s="131"/>
      <c r="E211" s="131"/>
      <c r="F211" s="131"/>
      <c r="G211" s="131"/>
      <c r="H211" s="131"/>
      <c r="I211" s="131"/>
      <c r="J211" s="145"/>
      <c r="K211" s="60" t="s">
        <v>31</v>
      </c>
      <c r="L211" s="60" t="s">
        <v>32</v>
      </c>
      <c r="M211" s="60" t="s">
        <v>33</v>
      </c>
      <c r="N211" s="60" t="s">
        <v>108</v>
      </c>
      <c r="O211" s="60" t="s">
        <v>37</v>
      </c>
      <c r="P211" s="60" t="s">
        <v>8</v>
      </c>
      <c r="Q211" s="60" t="s">
        <v>34</v>
      </c>
      <c r="R211" s="60" t="s">
        <v>35</v>
      </c>
      <c r="S211" s="60" t="s">
        <v>31</v>
      </c>
      <c r="T211" s="60" t="s">
        <v>36</v>
      </c>
      <c r="U211" s="145"/>
      <c r="V211" s="65"/>
      <c r="W211" s="65"/>
      <c r="X211" s="65"/>
      <c r="Y211" s="65"/>
      <c r="Z211" s="65"/>
      <c r="AA211" s="84"/>
    </row>
    <row r="212" spans="1:27" x14ac:dyDescent="0.2">
      <c r="A212" s="131" t="s">
        <v>62</v>
      </c>
      <c r="B212" s="131"/>
      <c r="C212" s="131"/>
      <c r="D212" s="131"/>
      <c r="E212" s="131"/>
      <c r="F212" s="131"/>
      <c r="G212" s="131"/>
      <c r="H212" s="131"/>
      <c r="I212" s="131"/>
      <c r="J212" s="131"/>
      <c r="K212" s="131"/>
      <c r="L212" s="131"/>
      <c r="M212" s="131"/>
      <c r="N212" s="131"/>
      <c r="O212" s="131"/>
      <c r="P212" s="131"/>
      <c r="Q212" s="131"/>
      <c r="R212" s="131"/>
      <c r="S212" s="131"/>
      <c r="T212" s="131"/>
      <c r="U212" s="131"/>
      <c r="V212" s="84"/>
      <c r="W212" s="84"/>
      <c r="X212" s="84"/>
      <c r="Y212" s="84"/>
      <c r="Z212" s="84"/>
      <c r="AA212" s="84"/>
    </row>
    <row r="213" spans="1:27" x14ac:dyDescent="0.2">
      <c r="A213" s="24" t="str">
        <f>IF(ISNA(INDEX($A$37:$U$202,MATCH($B213,$B$37:$B$202,0),1)),"",INDEX($A$37:$U$202,MATCH($B213,$B$37:$B$202,0),1))</f>
        <v>VLR1467</v>
      </c>
      <c r="B213" s="135" t="s">
        <v>138</v>
      </c>
      <c r="C213" s="135"/>
      <c r="D213" s="135"/>
      <c r="E213" s="135"/>
      <c r="F213" s="135"/>
      <c r="G213" s="135"/>
      <c r="H213" s="135"/>
      <c r="I213" s="135"/>
      <c r="J213" s="14">
        <f>IF(ISNA(INDEX($A$37:$U$202,MATCH($B213,$B$37:$B$202,0),10)),"",INDEX($A$37:$U$202,MATCH($B213,$B$37:$B$202,0),10))</f>
        <v>3</v>
      </c>
      <c r="K213" s="14">
        <f>IF(ISNA(INDEX($A$37:$U$202,MATCH($B213,$B$37:$B$202,0),11)),"",INDEX($A$37:$U$202,MATCH($B213,$B$37:$B$202,0),11))</f>
        <v>1</v>
      </c>
      <c r="L213" s="14">
        <f>IF(ISNA(INDEX($A$37:$U$202,MATCH($B213,$B$37:$B$202,0),12)),"",INDEX($A$37:$U$202,MATCH($B213,$B$37:$B$202,0),12))</f>
        <v>0</v>
      </c>
      <c r="M213" s="14">
        <f>IF(ISNA(INDEX($A$37:$U$202,MATCH($B213,$B$37:$B$202,0),13)),"",INDEX($A$37:$U$202,MATCH($B213,$B$37:$B$202,0),13))</f>
        <v>2</v>
      </c>
      <c r="N213" s="51">
        <f>IF(ISNA(INDEX($A$37:$U$202,MATCH($B213,$B$37:$B$202,0),14)),"",INDEX($A$37:$U$202,MATCH($B213,$B$37:$B$202,0),14))</f>
        <v>0</v>
      </c>
      <c r="O213" s="51">
        <f>IF(ISNA(INDEX($A$37:$U$181,MATCH($B213,$B$37:$B$181,0),15)),"",INDEX($A$37:$U$181,MATCH($B213,$B$37:$B$181,0),15))</f>
        <v>3</v>
      </c>
      <c r="P213" s="51">
        <f>IF(ISNA(INDEX($A$37:$U$181,MATCH($B213,$B$37:$B$181,0),16)),"",INDEX($A$37:$U$181,MATCH($B213,$B$37:$B$181,0),16))</f>
        <v>2</v>
      </c>
      <c r="Q213" s="51">
        <f>IF(ISNA(INDEX($A$37:$U$181,MATCH($B213,$B$37:$B$181,0),17)),"",INDEX($A$37:$U$181,MATCH($B213,$B$37:$B$181,0),17))</f>
        <v>5</v>
      </c>
      <c r="R213" s="22" t="str">
        <f>IF(ISNA(INDEX($A$37:$U$181,MATCH($B213,$B$37:$B$181,0),18)),"",INDEX($A$37:$U$181,MATCH($B213,$B$37:$B$181,0),18))</f>
        <v>E</v>
      </c>
      <c r="S213" s="22">
        <f>IF(ISNA(INDEX($A$37:$U$181,MATCH($B213,$B$37:$B$181,0),19)),"",INDEX($A$37:$U$181,MATCH($B213,$B$37:$B$181,0),19))</f>
        <v>0</v>
      </c>
      <c r="T213" s="22">
        <f>IF(ISNA(INDEX($A$37:$U$181,MATCH($B213,$B$37:$B$181,0),20)),"",INDEX($A$37:$U$181,MATCH($B213,$B$37:$B$181,0),20))</f>
        <v>0</v>
      </c>
      <c r="U213" s="22" t="str">
        <f>IF(ISNA(INDEX($A$37:$U$181,MATCH($B213,$B$37:$B$181,0),21)),"",INDEX($A$37:$U$181,MATCH($B213,$B$37:$B$181,0),21))</f>
        <v>DD</v>
      </c>
      <c r="V213" s="84"/>
      <c r="W213" s="84"/>
      <c r="X213" s="84"/>
      <c r="Y213" s="84"/>
      <c r="Z213" s="84"/>
      <c r="AA213" s="84"/>
    </row>
    <row r="214" spans="1:27" x14ac:dyDescent="0.2">
      <c r="A214" s="24" t="str">
        <f>IF(ISNA(INDEX($A$37:$U$202,MATCH($B214,$B$37:$B$202,0),1)),"",INDEX($A$37:$U$202,MATCH($B214,$B$37:$B$202,0),1))</f>
        <v>VLR2468</v>
      </c>
      <c r="B214" s="135" t="s">
        <v>150</v>
      </c>
      <c r="C214" s="135"/>
      <c r="D214" s="135"/>
      <c r="E214" s="135"/>
      <c r="F214" s="135"/>
      <c r="G214" s="135"/>
      <c r="H214" s="135"/>
      <c r="I214" s="135"/>
      <c r="J214" s="14">
        <f>IF(ISNA(INDEX($A$37:$U$202,MATCH($B214,$B$37:$B$202,0),10)),"",INDEX($A$37:$U$202,MATCH($B214,$B$37:$B$202,0),10))</f>
        <v>5</v>
      </c>
      <c r="K214" s="14">
        <f>IF(ISNA(INDEX($A$37:$U$202,MATCH($B214,$B$37:$B$202,0),11)),"",INDEX($A$37:$U$202,MATCH($B214,$B$37:$B$202,0),11))</f>
        <v>1</v>
      </c>
      <c r="L214" s="14">
        <f>IF(ISNA(INDEX($A$37:$U$202,MATCH($B214,$B$37:$B$202,0),12)),"",INDEX($A$37:$U$202,MATCH($B214,$B$37:$B$202,0),12))</f>
        <v>0</v>
      </c>
      <c r="M214" s="14">
        <f>IF(ISNA(INDEX($A$37:$U$202,MATCH($B214,$B$37:$B$202,0),13)),"",INDEX($A$37:$U$202,MATCH($B214,$B$37:$B$202,0),13))</f>
        <v>2</v>
      </c>
      <c r="N214" s="51">
        <f>IF(ISNA(INDEX($A$37:$U$202,MATCH($B214,$B$37:$B$202,0),14)),"",INDEX($A$37:$U$202,MATCH($B214,$B$37:$B$202,0),14))</f>
        <v>0</v>
      </c>
      <c r="O214" s="51">
        <f>IF(ISNA(INDEX($A$37:$U$181,MATCH($B214,$B$37:$B$181,0),15)),"",INDEX($A$37:$U$181,MATCH($B214,$B$37:$B$181,0),15))</f>
        <v>3</v>
      </c>
      <c r="P214" s="51">
        <f>IF(ISNA(INDEX($A$37:$U$181,MATCH($B214,$B$37:$B$181,0),16)),"",INDEX($A$37:$U$181,MATCH($B214,$B$37:$B$181,0),16))</f>
        <v>6</v>
      </c>
      <c r="Q214" s="51">
        <f>IF(ISNA(INDEX($A$37:$U$181,MATCH($B214,$B$37:$B$181,0),17)),"",INDEX($A$37:$U$181,MATCH($B214,$B$37:$B$181,0),17))</f>
        <v>9</v>
      </c>
      <c r="R214" s="22" t="str">
        <f>IF(ISNA(INDEX($A$37:$U$181,MATCH($B214,$B$37:$B$181,0),18)),"",INDEX($A$37:$U$181,MATCH($B214,$B$37:$B$181,0),18))</f>
        <v>E</v>
      </c>
      <c r="S214" s="22">
        <f>IF(ISNA(INDEX($A$37:$U$181,MATCH($B214,$B$37:$B$181,0),19)),"",INDEX($A$37:$U$181,MATCH($B214,$B$37:$B$181,0),19))</f>
        <v>0</v>
      </c>
      <c r="T214" s="22">
        <f>IF(ISNA(INDEX($A$37:$U$181,MATCH($B214,$B$37:$B$181,0),20)),"",INDEX($A$37:$U$181,MATCH($B214,$B$37:$B$181,0),20))</f>
        <v>0</v>
      </c>
      <c r="U214" s="22" t="str">
        <f>IF(ISNA(INDEX($A$37:$U$181,MATCH($B214,$B$37:$B$181,0),21)),"",INDEX($A$37:$U$181,MATCH($B214,$B$37:$B$181,0),21))</f>
        <v>DD</v>
      </c>
      <c r="V214" s="84"/>
      <c r="W214" s="84"/>
      <c r="X214" s="84"/>
      <c r="Y214" s="84"/>
      <c r="Z214" s="84"/>
      <c r="AA214" s="84"/>
    </row>
    <row r="215" spans="1:27" x14ac:dyDescent="0.2">
      <c r="A215" s="24" t="str">
        <f>IF(ISNA(INDEX($A$37:$U$202,MATCH($B215,$B$37:$B$202,0),1)),"",INDEX($A$37:$U$202,MATCH($B215,$B$37:$B$202,0),1))</f>
        <v>VLR2467</v>
      </c>
      <c r="B215" s="135" t="s">
        <v>152</v>
      </c>
      <c r="C215" s="135"/>
      <c r="D215" s="135"/>
      <c r="E215" s="135"/>
      <c r="F215" s="135"/>
      <c r="G215" s="135"/>
      <c r="H215" s="135"/>
      <c r="I215" s="135"/>
      <c r="J215" s="14">
        <f>IF(ISNA(INDEX($A$37:$U$202,MATCH($B215,$B$37:$B$202,0),10)),"",INDEX($A$37:$U$202,MATCH($B215,$B$37:$B$202,0),10))</f>
        <v>5</v>
      </c>
      <c r="K215" s="14">
        <f>IF(ISNA(INDEX($A$37:$U$202,MATCH($B215,$B$37:$B$202,0),11)),"",INDEX($A$37:$U$202,MATCH($B215,$B$37:$B$202,0),11))</f>
        <v>1</v>
      </c>
      <c r="L215" s="14">
        <f>IF(ISNA(INDEX($A$37:$U$202,MATCH($B215,$B$37:$B$202,0),12)),"",INDEX($A$37:$U$202,MATCH($B215,$B$37:$B$202,0),12))</f>
        <v>0</v>
      </c>
      <c r="M215" s="14">
        <f>IF(ISNA(INDEX($A$37:$U$202,MATCH($B215,$B$37:$B$202,0),13)),"",INDEX($A$37:$U$202,MATCH($B215,$B$37:$B$202,0),13))</f>
        <v>2</v>
      </c>
      <c r="N215" s="51">
        <f>IF(ISNA(INDEX($A$37:$U$202,MATCH($B215,$B$37:$B$202,0),14)),"",INDEX($A$37:$U$202,MATCH($B215,$B$37:$B$202,0),14))</f>
        <v>0</v>
      </c>
      <c r="O215" s="51">
        <f>IF(ISNA(INDEX($A$37:$U$181,MATCH($B215,$B$37:$B$181,0),15)),"",INDEX($A$37:$U$181,MATCH($B215,$B$37:$B$181,0),15))</f>
        <v>3</v>
      </c>
      <c r="P215" s="51">
        <f>IF(ISNA(INDEX($A$37:$U$181,MATCH($B215,$B$37:$B$181,0),16)),"",INDEX($A$37:$U$181,MATCH($B215,$B$37:$B$181,0),16))</f>
        <v>6</v>
      </c>
      <c r="Q215" s="51">
        <f>IF(ISNA(INDEX($A$37:$U$181,MATCH($B215,$B$37:$B$181,0),17)),"",INDEX($A$37:$U$181,MATCH($B215,$B$37:$B$181,0),17))</f>
        <v>9</v>
      </c>
      <c r="R215" s="22" t="str">
        <f>IF(ISNA(INDEX($A$37:$U$181,MATCH($B215,$B$37:$B$181,0),18)),"",INDEX($A$37:$U$181,MATCH($B215,$B$37:$B$181,0),18))</f>
        <v>E</v>
      </c>
      <c r="S215" s="22">
        <f>IF(ISNA(INDEX($A$37:$U$181,MATCH($B215,$B$37:$B$181,0),19)),"",INDEX($A$37:$U$181,MATCH($B215,$B$37:$B$181,0),19))</f>
        <v>0</v>
      </c>
      <c r="T215" s="22">
        <f>IF(ISNA(INDEX($A$37:$U$181,MATCH($B215,$B$37:$B$181,0),20)),"",INDEX($A$37:$U$181,MATCH($B215,$B$37:$B$181,0),20))</f>
        <v>0</v>
      </c>
      <c r="U215" s="22" t="str">
        <f>IF(ISNA(INDEX($A$37:$U$181,MATCH($B215,$B$37:$B$181,0),21)),"",INDEX($A$37:$U$181,MATCH($B215,$B$37:$B$181,0),21))</f>
        <v>DD</v>
      </c>
      <c r="V215" s="83"/>
      <c r="W215" s="83"/>
      <c r="X215" s="83"/>
      <c r="Y215" s="83"/>
      <c r="Z215" s="83"/>
      <c r="AA215" s="83"/>
    </row>
    <row r="216" spans="1:27" x14ac:dyDescent="0.2">
      <c r="A216" s="24" t="str">
        <f>IF(ISNA(INDEX($A$37:$U$202,MATCH($B216,$B$37:$B$202,0),1)),"",INDEX($A$37:$U$202,MATCH($B216,$B$37:$B$202,0),1))</f>
        <v>VLR2466</v>
      </c>
      <c r="B216" s="135" t="s">
        <v>154</v>
      </c>
      <c r="C216" s="135"/>
      <c r="D216" s="135"/>
      <c r="E216" s="135"/>
      <c r="F216" s="135"/>
      <c r="G216" s="135"/>
      <c r="H216" s="135"/>
      <c r="I216" s="135"/>
      <c r="J216" s="14">
        <f>IF(ISNA(INDEX($A$37:$U$202,MATCH($B216,$B$37:$B$202,0),10)),"",INDEX($A$37:$U$202,MATCH($B216,$B$37:$B$202,0),10))</f>
        <v>6</v>
      </c>
      <c r="K216" s="14">
        <f>IF(ISNA(INDEX($A$37:$U$202,MATCH($B216,$B$37:$B$202,0),11)),"",INDEX($A$37:$U$202,MATCH($B216,$B$37:$B$202,0),11))</f>
        <v>2</v>
      </c>
      <c r="L216" s="14">
        <f>IF(ISNA(INDEX($A$37:$U$202,MATCH($B216,$B$37:$B$202,0),12)),"",INDEX($A$37:$U$202,MATCH($B216,$B$37:$B$202,0),12))</f>
        <v>0</v>
      </c>
      <c r="M216" s="14">
        <f>IF(ISNA(INDEX($A$37:$U$202,MATCH($B216,$B$37:$B$202,0),13)),"",INDEX($A$37:$U$202,MATCH($B216,$B$37:$B$202,0),13))</f>
        <v>3</v>
      </c>
      <c r="N216" s="51">
        <f>IF(ISNA(INDEX($A$37:$U$202,MATCH($B216,$B$37:$B$202,0),14)),"",INDEX($A$37:$U$202,MATCH($B216,$B$37:$B$202,0),14))</f>
        <v>0.5</v>
      </c>
      <c r="O216" s="51">
        <f>IF(ISNA(INDEX($A$37:$U$181,MATCH($B216,$B$37:$B$181,0),15)),"",INDEX($A$37:$U$181,MATCH($B216,$B$37:$B$181,0),15))</f>
        <v>5.5</v>
      </c>
      <c r="P216" s="51">
        <f>IF(ISNA(INDEX($A$37:$U$181,MATCH($B216,$B$37:$B$181,0),16)),"",INDEX($A$37:$U$181,MATCH($B216,$B$37:$B$181,0),16))</f>
        <v>5.5</v>
      </c>
      <c r="Q216" s="51">
        <f>IF(ISNA(INDEX($A$37:$U$181,MATCH($B216,$B$37:$B$181,0),17)),"",INDEX($A$37:$U$181,MATCH($B216,$B$37:$B$181,0),17))</f>
        <v>11</v>
      </c>
      <c r="R216" s="22" t="str">
        <f>IF(ISNA(INDEX($A$37:$U$181,MATCH($B216,$B$37:$B$181,0),18)),"",INDEX($A$37:$U$181,MATCH($B216,$B$37:$B$181,0),18))</f>
        <v>E</v>
      </c>
      <c r="S216" s="22">
        <f>IF(ISNA(INDEX($A$37:$U$181,MATCH($B216,$B$37:$B$181,0),19)),"",INDEX($A$37:$U$181,MATCH($B216,$B$37:$B$181,0),19))</f>
        <v>0</v>
      </c>
      <c r="T216" s="22">
        <f>IF(ISNA(INDEX($A$37:$U$181,MATCH($B216,$B$37:$B$181,0),20)),"",INDEX($A$37:$U$181,MATCH($B216,$B$37:$B$181,0),20))</f>
        <v>0</v>
      </c>
      <c r="U216" s="22" t="str">
        <f>IF(ISNA(INDEX($A$37:$U$181,MATCH($B216,$B$37:$B$181,0),21)),"",INDEX($A$37:$U$181,MATCH($B216,$B$37:$B$181,0),21))</f>
        <v>DD</v>
      </c>
      <c r="V216" s="83"/>
      <c r="W216" s="83"/>
      <c r="X216" s="83"/>
      <c r="Y216" s="83"/>
      <c r="Z216" s="83"/>
      <c r="AA216" s="83"/>
    </row>
    <row r="217" spans="1:27" x14ac:dyDescent="0.2">
      <c r="A217" s="24" t="str">
        <f>IF(ISNA(INDEX($A$37:$U$202,MATCH($B217,$B$37:$B$202,0),1)),"",INDEX($A$37:$U$202,MATCH($B217,$B$37:$B$202,0),1))</f>
        <v>VLR2465</v>
      </c>
      <c r="B217" s="135" t="s">
        <v>156</v>
      </c>
      <c r="C217" s="135"/>
      <c r="D217" s="135"/>
      <c r="E217" s="135"/>
      <c r="F217" s="135"/>
      <c r="G217" s="135"/>
      <c r="H217" s="135"/>
      <c r="I217" s="135"/>
      <c r="J217" s="14">
        <f>IF(ISNA(INDEX($A$37:$U$202,MATCH($B217,$B$37:$B$202,0),10)),"",INDEX($A$37:$U$202,MATCH($B217,$B$37:$B$202,0),10))</f>
        <v>4</v>
      </c>
      <c r="K217" s="14">
        <f>IF(ISNA(INDEX($A$37:$U$202,MATCH($B217,$B$37:$B$202,0),11)),"",INDEX($A$37:$U$202,MATCH($B217,$B$37:$B$202,0),11))</f>
        <v>1</v>
      </c>
      <c r="L217" s="14">
        <f>IF(ISNA(INDEX($A$37:$U$202,MATCH($B217,$B$37:$B$202,0),12)),"",INDEX($A$37:$U$202,MATCH($B217,$B$37:$B$202,0),12))</f>
        <v>0</v>
      </c>
      <c r="M217" s="14">
        <f>IF(ISNA(INDEX($A$37:$U$202,MATCH($B217,$B$37:$B$202,0),13)),"",INDEX($A$37:$U$202,MATCH($B217,$B$37:$B$202,0),13))</f>
        <v>2</v>
      </c>
      <c r="N217" s="51">
        <f>IF(ISNA(INDEX($A$37:$U$202,MATCH($B217,$B$37:$B$202,0),14)),"",INDEX($A$37:$U$202,MATCH($B217,$B$37:$B$202,0),14))</f>
        <v>0</v>
      </c>
      <c r="O217" s="51">
        <f>IF(ISNA(INDEX($A$37:$U$181,MATCH($B217,$B$37:$B$181,0),15)),"",INDEX($A$37:$U$181,MATCH($B217,$B$37:$B$181,0),15))</f>
        <v>3</v>
      </c>
      <c r="P217" s="51">
        <f>IF(ISNA(INDEX($A$37:$U$181,MATCH($B217,$B$37:$B$181,0),16)),"",INDEX($A$37:$U$181,MATCH($B217,$B$37:$B$181,0),16))</f>
        <v>4</v>
      </c>
      <c r="Q217" s="51">
        <f>IF(ISNA(INDEX($A$37:$U$181,MATCH($B217,$B$37:$B$181,0),17)),"",INDEX($A$37:$U$181,MATCH($B217,$B$37:$B$181,0),17))</f>
        <v>7</v>
      </c>
      <c r="R217" s="22" t="str">
        <f>IF(ISNA(INDEX($A$37:$U$181,MATCH($B217,$B$37:$B$181,0),18)),"",INDEX($A$37:$U$181,MATCH($B217,$B$37:$B$181,0),18))</f>
        <v>E</v>
      </c>
      <c r="S217" s="22">
        <f>IF(ISNA(INDEX($A$37:$U$181,MATCH($B217,$B$37:$B$181,0),19)),"",INDEX($A$37:$U$181,MATCH($B217,$B$37:$B$181,0),19))</f>
        <v>0</v>
      </c>
      <c r="T217" s="22">
        <f>IF(ISNA(INDEX($A$37:$U$181,MATCH($B217,$B$37:$B$181,0),20)),"",INDEX($A$37:$U$181,MATCH($B217,$B$37:$B$181,0),20))</f>
        <v>0</v>
      </c>
      <c r="U217" s="22" t="str">
        <f>IF(ISNA(INDEX($A$37:$U$181,MATCH($B217,$B$37:$B$181,0),21)),"",INDEX($A$37:$U$181,MATCH($B217,$B$37:$B$181,0),21))</f>
        <v>DD</v>
      </c>
      <c r="V217" s="83"/>
      <c r="W217" s="83"/>
      <c r="X217" s="83"/>
      <c r="Y217" s="83"/>
      <c r="Z217" s="83"/>
      <c r="AA217" s="83"/>
    </row>
    <row r="218" spans="1:27" x14ac:dyDescent="0.2">
      <c r="A218" s="24" t="str">
        <f>IF(ISNA(INDEX($A$37:$U$202,MATCH($B218,$B$37:$B$202,0),1)),"",INDEX($A$37:$U$202,MATCH($B218,$B$37:$B$202,0),1))</f>
        <v>VLR5469</v>
      </c>
      <c r="B218" s="135" t="s">
        <v>185</v>
      </c>
      <c r="C218" s="135"/>
      <c r="D218" s="135"/>
      <c r="E218" s="135"/>
      <c r="F218" s="135"/>
      <c r="G218" s="135"/>
      <c r="H218" s="135"/>
      <c r="I218" s="135"/>
      <c r="J218" s="14">
        <f>IF(ISNA(INDEX($A$37:$U$202,MATCH($B218,$B$37:$B$202,0),10)),"",INDEX($A$37:$U$202,MATCH($B218,$B$37:$B$202,0),10))</f>
        <v>5</v>
      </c>
      <c r="K218" s="14">
        <f>IF(ISNA(INDEX($A$37:$U$202,MATCH($B218,$B$37:$B$202,0),11)),"",INDEX($A$37:$U$202,MATCH($B218,$B$37:$B$202,0),11))</f>
        <v>2</v>
      </c>
      <c r="L218" s="14">
        <f>IF(ISNA(INDEX($A$37:$U$202,MATCH($B218,$B$37:$B$202,0),12)),"",INDEX($A$37:$U$202,MATCH($B218,$B$37:$B$202,0),12))</f>
        <v>0</v>
      </c>
      <c r="M218" s="14">
        <f>IF(ISNA(INDEX($A$37:$U$202,MATCH($B218,$B$37:$B$202,0),13)),"",INDEX($A$37:$U$202,MATCH($B218,$B$37:$B$202,0),13))</f>
        <v>1</v>
      </c>
      <c r="N218" s="51">
        <f>IF(ISNA(INDEX($A$37:$U$202,MATCH($B218,$B$37:$B$202,0),14)),"",INDEX($A$37:$U$202,MATCH($B218,$B$37:$B$202,0),14))</f>
        <v>0</v>
      </c>
      <c r="O218" s="51">
        <f>IF(ISNA(INDEX($A$37:$U$181,MATCH($B218,$B$37:$B$181,0),15)),"",INDEX($A$37:$U$181,MATCH($B218,$B$37:$B$181,0),15))</f>
        <v>3</v>
      </c>
      <c r="P218" s="51">
        <f>IF(ISNA(INDEX($A$37:$U$181,MATCH($B218,$B$37:$B$181,0),16)),"",INDEX($A$37:$U$181,MATCH($B218,$B$37:$B$181,0),16))</f>
        <v>6</v>
      </c>
      <c r="Q218" s="51">
        <f>IF(ISNA(INDEX($A$37:$U$181,MATCH($B218,$B$37:$B$181,0),17)),"",INDEX($A$37:$U$181,MATCH($B218,$B$37:$B$181,0),17))</f>
        <v>9</v>
      </c>
      <c r="R218" s="22" t="str">
        <f>IF(ISNA(INDEX($A$37:$U$181,MATCH($B218,$B$37:$B$181,0),18)),"",INDEX($A$37:$U$181,MATCH($B218,$B$37:$B$181,0),18))</f>
        <v>E</v>
      </c>
      <c r="S218" s="22">
        <f>IF(ISNA(INDEX($A$37:$U$181,MATCH($B218,$B$37:$B$181,0),19)),"",INDEX($A$37:$U$181,MATCH($B218,$B$37:$B$181,0),19))</f>
        <v>0</v>
      </c>
      <c r="T218" s="22">
        <f>IF(ISNA(INDEX($A$37:$U$181,MATCH($B218,$B$37:$B$181,0),20)),"",INDEX($A$37:$U$181,MATCH($B218,$B$37:$B$181,0),20))</f>
        <v>0</v>
      </c>
      <c r="U218" s="22" t="str">
        <f>IF(ISNA(INDEX($A$37:$U$181,MATCH($B218,$B$37:$B$181,0),21)),"",INDEX($A$37:$U$181,MATCH($B218,$B$37:$B$181,0),21))</f>
        <v>DD</v>
      </c>
      <c r="V218" s="83"/>
      <c r="W218" s="83"/>
      <c r="X218" s="83"/>
      <c r="Y218" s="83"/>
      <c r="Z218" s="83"/>
      <c r="AA218" s="83"/>
    </row>
    <row r="219" spans="1:27" x14ac:dyDescent="0.2">
      <c r="A219" s="62" t="s">
        <v>28</v>
      </c>
      <c r="B219" s="130"/>
      <c r="C219" s="130"/>
      <c r="D219" s="130"/>
      <c r="E219" s="130"/>
      <c r="F219" s="130"/>
      <c r="G219" s="130"/>
      <c r="H219" s="130"/>
      <c r="I219" s="130"/>
      <c r="J219" s="17">
        <f t="shared" ref="J219:Q219" si="50">SUM(J213:J218)</f>
        <v>28</v>
      </c>
      <c r="K219" s="17">
        <f t="shared" si="50"/>
        <v>8</v>
      </c>
      <c r="L219" s="17">
        <f t="shared" si="50"/>
        <v>0</v>
      </c>
      <c r="M219" s="17">
        <f t="shared" si="50"/>
        <v>12</v>
      </c>
      <c r="N219" s="53">
        <f t="shared" si="50"/>
        <v>0.5</v>
      </c>
      <c r="O219" s="53">
        <f t="shared" si="50"/>
        <v>20.5</v>
      </c>
      <c r="P219" s="53">
        <f t="shared" si="50"/>
        <v>29.5</v>
      </c>
      <c r="Q219" s="53">
        <f t="shared" si="50"/>
        <v>50</v>
      </c>
      <c r="R219" s="62">
        <f>COUNTIF(R213:R218,"E")</f>
        <v>6</v>
      </c>
      <c r="S219" s="62">
        <f>COUNTIF(S213:S218,"C")</f>
        <v>0</v>
      </c>
      <c r="T219" s="62">
        <f>COUNTIF(T213:T218,"VP")</f>
        <v>0</v>
      </c>
      <c r="U219" s="63">
        <f>COUNTA(U213:U218)</f>
        <v>6</v>
      </c>
      <c r="V219" s="84"/>
      <c r="W219" s="84"/>
      <c r="X219" s="84"/>
      <c r="Y219" s="84"/>
      <c r="Z219" s="84"/>
      <c r="AA219" s="84"/>
    </row>
    <row r="220" spans="1:27" x14ac:dyDescent="0.2">
      <c r="A220" s="131" t="s">
        <v>75</v>
      </c>
      <c r="B220" s="131"/>
      <c r="C220" s="131"/>
      <c r="D220" s="131"/>
      <c r="E220" s="131"/>
      <c r="F220" s="131"/>
      <c r="G220" s="131"/>
      <c r="H220" s="131"/>
      <c r="I220" s="131"/>
      <c r="J220" s="131"/>
      <c r="K220" s="131"/>
      <c r="L220" s="131"/>
      <c r="M220" s="131"/>
      <c r="N220" s="131"/>
      <c r="O220" s="131"/>
      <c r="P220" s="131"/>
      <c r="Q220" s="131"/>
      <c r="R220" s="131"/>
      <c r="S220" s="131"/>
      <c r="T220" s="131"/>
      <c r="U220" s="131"/>
      <c r="V220" s="84"/>
      <c r="W220" s="84"/>
      <c r="X220" s="84"/>
      <c r="Y220" s="84"/>
      <c r="Z220" s="84"/>
      <c r="AA220" s="84"/>
    </row>
    <row r="221" spans="1:27" x14ac:dyDescent="0.2">
      <c r="A221" s="24" t="str">
        <f>IF(ISNA(INDEX($A$37:$U$202,MATCH($B221,$B$37:$B$202,0),1)),"",INDEX($A$37:$U$202,MATCH($B221,$B$37:$B$202,0),1))</f>
        <v>VLR6469</v>
      </c>
      <c r="B221" s="275" t="s">
        <v>197</v>
      </c>
      <c r="C221" s="276"/>
      <c r="D221" s="276"/>
      <c r="E221" s="276"/>
      <c r="F221" s="276"/>
      <c r="G221" s="276"/>
      <c r="H221" s="276"/>
      <c r="I221" s="277"/>
      <c r="J221" s="14">
        <f>IF(ISNA(INDEX($A$37:$U$202,MATCH($B221,$B$37:$B$202,0),10)),"",INDEX($A$37:$U$202,MATCH($B221,$B$37:$B$202,0),10))</f>
        <v>6</v>
      </c>
      <c r="K221" s="14">
        <f>IF(ISNA(INDEX($A$37:$U$202,MATCH($B221,$B$37:$B$202,0),11)),"",INDEX($A$37:$U$202,MATCH($B221,$B$37:$B$202,0),11))</f>
        <v>2</v>
      </c>
      <c r="L221" s="14">
        <f>IF(ISNA(INDEX($A$37:$U$202,MATCH($B221,$B$37:$B$202,0),12)),"",INDEX($A$37:$U$202,MATCH($B221,$B$37:$B$202,0),12))</f>
        <v>2</v>
      </c>
      <c r="M221" s="14">
        <f>IF(ISNA(INDEX($A$37:$U$202,MATCH($B221,$B$37:$B$202,0),13)),"",INDEX($A$37:$U$202,MATCH($B221,$B$37:$B$202,0),13))</f>
        <v>0</v>
      </c>
      <c r="N221" s="51">
        <f>IF(ISNA(INDEX($A$37:$U$202,MATCH($B221,$B$37:$B$202,0),14)),"",INDEX($A$37:$U$202,MATCH($B221,$B$37:$B$202,0),14))</f>
        <v>0</v>
      </c>
      <c r="O221" s="51">
        <f>IF(ISNA(INDEX($A$37:$U$181,MATCH($B221,$B$37:$B$181,0),15)),"",INDEX($A$37:$U$181,MATCH($B221,$B$37:$B$181,0),15))</f>
        <v>4</v>
      </c>
      <c r="P221" s="51">
        <f>IF(ISNA(INDEX($A$37:$U$181,MATCH($B221,$B$37:$B$181,0),16)),"",INDEX($A$37:$U$181,MATCH($B221,$B$37:$B$181,0),16))</f>
        <v>9</v>
      </c>
      <c r="Q221" s="51">
        <f>IF(ISNA(INDEX($A$37:$U$181,MATCH($B221,$B$37:$B$181,0),17)),"",INDEX($A$37:$U$181,MATCH($B221,$B$37:$B$181,0),17))</f>
        <v>13</v>
      </c>
      <c r="R221" s="22" t="str">
        <f>IF(ISNA(INDEX($A$37:$U$181,MATCH($B221,$B$37:$B$181,0),18)),"",INDEX($A$37:$U$181,MATCH($B221,$B$37:$B$181,0),18))</f>
        <v>E</v>
      </c>
      <c r="S221" s="22">
        <f>IF(ISNA(INDEX($A$37:$U$181,MATCH($B221,$B$37:$B$181,0),19)),"",INDEX($A$37:$U$181,MATCH($B221,$B$37:$B$181,0),19))</f>
        <v>0</v>
      </c>
      <c r="T221" s="22">
        <f>IF(ISNA(INDEX($A$37:$U$181,MATCH($B221,$B$37:$B$181,0),20)),"",INDEX($A$37:$U$181,MATCH($B221,$B$37:$B$181,0),20))</f>
        <v>0</v>
      </c>
      <c r="U221" s="22" t="str">
        <f>IF(ISNA(INDEX($A$37:$U$181,MATCH($B221,$B$37:$B$181,0),21)),"",INDEX($A$37:$U$181,MATCH($B221,$B$37:$B$181,0),21))</f>
        <v>DD</v>
      </c>
      <c r="V221" s="84"/>
      <c r="W221" s="84"/>
      <c r="X221" s="84"/>
      <c r="Y221" s="84"/>
      <c r="Z221" s="84"/>
      <c r="AA221" s="84"/>
    </row>
    <row r="222" spans="1:27" x14ac:dyDescent="0.2">
      <c r="A222" s="24" t="str">
        <f>IF(ISNA(INDEX($A$37:$U$202,MATCH($B222,$B$37:$B$202,0),1)),"",INDEX($A$37:$U$202,MATCH($B222,$B$37:$B$202,0),1))</f>
        <v>VLR6468</v>
      </c>
      <c r="B222" s="275" t="s">
        <v>199</v>
      </c>
      <c r="C222" s="276"/>
      <c r="D222" s="276"/>
      <c r="E222" s="276"/>
      <c r="F222" s="276"/>
      <c r="G222" s="276"/>
      <c r="H222" s="276"/>
      <c r="I222" s="277"/>
      <c r="J222" s="14">
        <f>IF(ISNA(INDEX($A$37:$U$202,MATCH($B222,$B$37:$B$202,0),10)),"",INDEX($A$37:$U$202,MATCH($B222,$B$37:$B$202,0),10))</f>
        <v>5</v>
      </c>
      <c r="K222" s="14">
        <f>IF(ISNA(INDEX($A$37:$U$202,MATCH($B222,$B$37:$B$202,0),11)),"",INDEX($A$37:$U$202,MATCH($B222,$B$37:$B$202,0),11))</f>
        <v>1</v>
      </c>
      <c r="L222" s="14">
        <f>IF(ISNA(INDEX($A$37:$U$202,MATCH($B222,$B$37:$B$202,0),12)),"",INDEX($A$37:$U$202,MATCH($B222,$B$37:$B$202,0),12))</f>
        <v>0</v>
      </c>
      <c r="M222" s="14">
        <f>IF(ISNA(INDEX($A$37:$U$202,MATCH($B222,$B$37:$B$202,0),13)),"",INDEX($A$37:$U$202,MATCH($B222,$B$37:$B$202,0),13))</f>
        <v>3</v>
      </c>
      <c r="N222" s="51">
        <f>IF(ISNA(INDEX($A$37:$U$202,MATCH($B222,$B$37:$B$202,0),14)),"",INDEX($A$37:$U$202,MATCH($B222,$B$37:$B$202,0),14))</f>
        <v>0</v>
      </c>
      <c r="O222" s="51">
        <f>IF(ISNA(INDEX($A$37:$U$181,MATCH($B222,$B$37:$B$181,0),15)),"",INDEX($A$37:$U$181,MATCH($B222,$B$37:$B$181,0),15))</f>
        <v>4</v>
      </c>
      <c r="P222" s="51">
        <f>IF(ISNA(INDEX($A$37:$U$181,MATCH($B222,$B$37:$B$181,0),16)),"",INDEX($A$37:$U$181,MATCH($B222,$B$37:$B$181,0),16))</f>
        <v>6</v>
      </c>
      <c r="Q222" s="51">
        <f>IF(ISNA(INDEX($A$37:$U$181,MATCH($B222,$B$37:$B$181,0),17)),"",INDEX($A$37:$U$181,MATCH($B222,$B$37:$B$181,0),17))</f>
        <v>10</v>
      </c>
      <c r="R222" s="22">
        <f>IF(ISNA(INDEX($A$37:$U$181,MATCH($B222,$B$37:$B$181,0),18)),"",INDEX($A$37:$U$181,MATCH($B222,$B$37:$B$181,0),18))</f>
        <v>0</v>
      </c>
      <c r="S222" s="22">
        <f>IF(ISNA(INDEX($A$37:$U$181,MATCH($B222,$B$37:$B$181,0),19)),"",INDEX($A$37:$U$181,MATCH($B222,$B$37:$B$181,0),19))</f>
        <v>0</v>
      </c>
      <c r="T222" s="22" t="str">
        <f>IF(ISNA(INDEX($A$37:$U$181,MATCH($B222,$B$37:$B$181,0),20)),"",INDEX($A$37:$U$181,MATCH($B222,$B$37:$B$181,0),20))</f>
        <v>VP</v>
      </c>
      <c r="U222" s="22" t="str">
        <f>IF(ISNA(INDEX($A$37:$U$181,MATCH($B222,$B$37:$B$181,0),21)),"",INDEX($A$37:$U$181,MATCH($B222,$B$37:$B$181,0),21))</f>
        <v>DD</v>
      </c>
      <c r="V222" s="84"/>
      <c r="W222" s="84"/>
      <c r="X222" s="84"/>
      <c r="Y222" s="84"/>
      <c r="Z222" s="84"/>
      <c r="AA222" s="84"/>
    </row>
    <row r="223" spans="1:27" x14ac:dyDescent="0.2">
      <c r="A223" s="24" t="str">
        <f>IF(ISNA(INDEX($A$37:$U$202,MATCH($B223,$B$37:$B$202,0),1)),"",INDEX($A$37:$U$202,MATCH($B223,$B$37:$B$202,0),1))</f>
        <v>VLR6467</v>
      </c>
      <c r="B223" s="275" t="s">
        <v>201</v>
      </c>
      <c r="C223" s="276"/>
      <c r="D223" s="276"/>
      <c r="E223" s="276"/>
      <c r="F223" s="276"/>
      <c r="G223" s="276"/>
      <c r="H223" s="276"/>
      <c r="I223" s="277"/>
      <c r="J223" s="14">
        <f>IF(ISNA(INDEX($A$37:$U$202,MATCH($B223,$B$37:$B$202,0),10)),"",INDEX($A$37:$U$202,MATCH($B223,$B$37:$B$202,0),10))</f>
        <v>6</v>
      </c>
      <c r="K223" s="14">
        <f>IF(ISNA(INDEX($A$37:$U$202,MATCH($B223,$B$37:$B$202,0),11)),"",INDEX($A$37:$U$202,MATCH($B223,$B$37:$B$202,0),11))</f>
        <v>2</v>
      </c>
      <c r="L223" s="14">
        <f>IF(ISNA(INDEX($A$37:$U$202,MATCH($B223,$B$37:$B$202,0),12)),"",INDEX($A$37:$U$202,MATCH($B223,$B$37:$B$202,0),12))</f>
        <v>0</v>
      </c>
      <c r="M223" s="14">
        <f>IF(ISNA(INDEX($A$37:$U$202,MATCH($B223,$B$37:$B$202,0),13)),"",INDEX($A$37:$U$202,MATCH($B223,$B$37:$B$202,0),13))</f>
        <v>3</v>
      </c>
      <c r="N223" s="51">
        <f>IF(ISNA(INDEX($A$37:$U$202,MATCH($B223,$B$37:$B$202,0),14)),"",INDEX($A$37:$U$202,MATCH($B223,$B$37:$B$202,0),14))</f>
        <v>0</v>
      </c>
      <c r="O223" s="51">
        <f>IF(ISNA(INDEX($A$37:$U$181,MATCH($B223,$B$37:$B$181,0),15)),"",INDEX($A$37:$U$181,MATCH($B223,$B$37:$B$181,0),15))</f>
        <v>5</v>
      </c>
      <c r="P223" s="51">
        <f>IF(ISNA(INDEX($A$37:$U$181,MATCH($B223,$B$37:$B$181,0),16)),"",INDEX($A$37:$U$181,MATCH($B223,$B$37:$B$181,0),16))</f>
        <v>8</v>
      </c>
      <c r="Q223" s="51">
        <f>IF(ISNA(INDEX($A$37:$U$181,MATCH($B223,$B$37:$B$181,0),17)),"",INDEX($A$37:$U$181,MATCH($B223,$B$37:$B$181,0),17))</f>
        <v>13</v>
      </c>
      <c r="R223" s="22" t="str">
        <f>IF(ISNA(INDEX($A$37:$U$181,MATCH($B223,$B$37:$B$181,0),18)),"",INDEX($A$37:$U$181,MATCH($B223,$B$37:$B$181,0),18))</f>
        <v>E</v>
      </c>
      <c r="S223" s="22">
        <f>IF(ISNA(INDEX($A$37:$U$181,MATCH($B223,$B$37:$B$181,0),19)),"",INDEX($A$37:$U$181,MATCH($B223,$B$37:$B$181,0),19))</f>
        <v>0</v>
      </c>
      <c r="T223" s="22">
        <f>IF(ISNA(INDEX($A$37:$U$181,MATCH($B223,$B$37:$B$181,0),20)),"",INDEX($A$37:$U$181,MATCH($B223,$B$37:$B$181,0),20))</f>
        <v>0</v>
      </c>
      <c r="U223" s="22" t="str">
        <f>IF(ISNA(INDEX($A$37:$U$181,MATCH($B223,$B$37:$B$181,0),21)),"",INDEX($A$37:$U$181,MATCH($B223,$B$37:$B$181,0),21))</f>
        <v>DD</v>
      </c>
      <c r="V223" s="84"/>
      <c r="W223" s="84"/>
      <c r="X223" s="84"/>
      <c r="Y223" s="84"/>
      <c r="Z223" s="84"/>
      <c r="AA223" s="84"/>
    </row>
    <row r="224" spans="1:27" x14ac:dyDescent="0.2">
      <c r="A224" s="62" t="s">
        <v>28</v>
      </c>
      <c r="B224" s="131"/>
      <c r="C224" s="131"/>
      <c r="D224" s="131"/>
      <c r="E224" s="131"/>
      <c r="F224" s="131"/>
      <c r="G224" s="131"/>
      <c r="H224" s="131"/>
      <c r="I224" s="131"/>
      <c r="J224" s="17">
        <f t="shared" ref="J224:Q224" si="51">SUM(J221:J223)</f>
        <v>17</v>
      </c>
      <c r="K224" s="17">
        <f t="shared" si="51"/>
        <v>5</v>
      </c>
      <c r="L224" s="17">
        <f t="shared" si="51"/>
        <v>2</v>
      </c>
      <c r="M224" s="17">
        <f t="shared" si="51"/>
        <v>6</v>
      </c>
      <c r="N224" s="53">
        <f t="shared" si="51"/>
        <v>0</v>
      </c>
      <c r="O224" s="53">
        <f t="shared" si="51"/>
        <v>13</v>
      </c>
      <c r="P224" s="53">
        <f t="shared" si="51"/>
        <v>23</v>
      </c>
      <c r="Q224" s="53">
        <f t="shared" si="51"/>
        <v>36</v>
      </c>
      <c r="R224" s="62">
        <f>COUNTIF(R221:R223,"E")</f>
        <v>2</v>
      </c>
      <c r="S224" s="62">
        <f>COUNTIF(S221:S223,"C")</f>
        <v>0</v>
      </c>
      <c r="T224" s="62">
        <f>COUNTIF(T221:T223,"VP")</f>
        <v>1</v>
      </c>
      <c r="U224" s="63">
        <f>COUNTA(U221:U223)</f>
        <v>3</v>
      </c>
      <c r="V224" s="85"/>
      <c r="W224" s="85"/>
      <c r="X224" s="85"/>
      <c r="Y224" s="85"/>
      <c r="Z224" s="85"/>
      <c r="AA224" s="85"/>
    </row>
    <row r="225" spans="1:27" ht="30" customHeight="1" x14ac:dyDescent="0.2">
      <c r="A225" s="225" t="s">
        <v>110</v>
      </c>
      <c r="B225" s="225"/>
      <c r="C225" s="225"/>
      <c r="D225" s="225"/>
      <c r="E225" s="225"/>
      <c r="F225" s="225"/>
      <c r="G225" s="225"/>
      <c r="H225" s="225"/>
      <c r="I225" s="225"/>
      <c r="J225" s="17">
        <f t="shared" ref="J225:U225" si="52">SUM(J219,J224)</f>
        <v>45</v>
      </c>
      <c r="K225" s="17">
        <f t="shared" si="52"/>
        <v>13</v>
      </c>
      <c r="L225" s="17">
        <f t="shared" si="52"/>
        <v>2</v>
      </c>
      <c r="M225" s="17">
        <f t="shared" si="52"/>
        <v>18</v>
      </c>
      <c r="N225" s="53">
        <f t="shared" si="52"/>
        <v>0.5</v>
      </c>
      <c r="O225" s="53">
        <f t="shared" si="52"/>
        <v>33.5</v>
      </c>
      <c r="P225" s="53">
        <f t="shared" si="52"/>
        <v>52.5</v>
      </c>
      <c r="Q225" s="53">
        <f t="shared" si="52"/>
        <v>86</v>
      </c>
      <c r="R225" s="17">
        <f t="shared" si="52"/>
        <v>8</v>
      </c>
      <c r="S225" s="17">
        <f t="shared" si="52"/>
        <v>0</v>
      </c>
      <c r="T225" s="17">
        <f t="shared" si="52"/>
        <v>1</v>
      </c>
      <c r="U225" s="86">
        <f t="shared" si="52"/>
        <v>9</v>
      </c>
      <c r="V225" s="84"/>
      <c r="W225" s="84"/>
      <c r="X225" s="84"/>
      <c r="Y225" s="84"/>
      <c r="Z225" s="84"/>
      <c r="AA225" s="84"/>
    </row>
    <row r="226" spans="1:27" ht="15.75" customHeight="1" x14ac:dyDescent="0.2">
      <c r="A226" s="139" t="s">
        <v>53</v>
      </c>
      <c r="B226" s="140"/>
      <c r="C226" s="140"/>
      <c r="D226" s="140"/>
      <c r="E226" s="140"/>
      <c r="F226" s="140"/>
      <c r="G226" s="140"/>
      <c r="H226" s="140"/>
      <c r="I226" s="140"/>
      <c r="J226" s="141"/>
      <c r="K226" s="17">
        <f t="shared" ref="K226:Q226" si="53">K219*14+K224*12</f>
        <v>172</v>
      </c>
      <c r="L226" s="17">
        <f t="shared" si="53"/>
        <v>24</v>
      </c>
      <c r="M226" s="17">
        <f t="shared" si="53"/>
        <v>240</v>
      </c>
      <c r="N226" s="53">
        <f t="shared" si="53"/>
        <v>7</v>
      </c>
      <c r="O226" s="53">
        <f t="shared" si="53"/>
        <v>443</v>
      </c>
      <c r="P226" s="53">
        <f t="shared" si="53"/>
        <v>689</v>
      </c>
      <c r="Q226" s="53">
        <f t="shared" si="53"/>
        <v>1132</v>
      </c>
      <c r="R226" s="121"/>
      <c r="S226" s="122"/>
      <c r="T226" s="122"/>
      <c r="U226" s="123"/>
    </row>
    <row r="227" spans="1:27" ht="17.25" customHeight="1" x14ac:dyDescent="0.2">
      <c r="A227" s="142"/>
      <c r="B227" s="143"/>
      <c r="C227" s="143"/>
      <c r="D227" s="143"/>
      <c r="E227" s="143"/>
      <c r="F227" s="143"/>
      <c r="G227" s="143"/>
      <c r="H227" s="143"/>
      <c r="I227" s="143"/>
      <c r="J227" s="144"/>
      <c r="K227" s="127">
        <f>SUM(K226:N226)</f>
        <v>443</v>
      </c>
      <c r="L227" s="128"/>
      <c r="M227" s="128"/>
      <c r="N227" s="129"/>
      <c r="O227" s="127">
        <f>SUM(O226:P226)</f>
        <v>1132</v>
      </c>
      <c r="P227" s="128"/>
      <c r="Q227" s="129"/>
      <c r="R227" s="124"/>
      <c r="S227" s="125"/>
      <c r="T227" s="125"/>
      <c r="U227" s="126"/>
    </row>
    <row r="228" spans="1:27" s="54" customFormat="1" ht="23.25" customHeight="1" x14ac:dyDescent="0.2">
      <c r="A228" s="117" t="s">
        <v>111</v>
      </c>
      <c r="B228" s="117"/>
      <c r="C228" s="117"/>
      <c r="D228" s="117"/>
      <c r="E228" s="117"/>
      <c r="F228" s="117"/>
      <c r="G228" s="117"/>
      <c r="H228" s="117"/>
      <c r="I228" s="117"/>
      <c r="J228" s="117"/>
      <c r="K228" s="111">
        <f>U225/SUM(U48,U63,U82,U101,U117,U131)</f>
        <v>0.21428571428571427</v>
      </c>
      <c r="L228" s="112"/>
      <c r="M228" s="112"/>
      <c r="N228" s="112"/>
      <c r="O228" s="112"/>
      <c r="P228" s="112"/>
      <c r="Q228" s="112"/>
      <c r="R228" s="112"/>
      <c r="S228" s="112"/>
      <c r="T228" s="112"/>
      <c r="U228" s="113"/>
    </row>
    <row r="229" spans="1:27" ht="22.5" customHeight="1" x14ac:dyDescent="0.2">
      <c r="A229" s="114" t="s">
        <v>112</v>
      </c>
      <c r="B229" s="115"/>
      <c r="C229" s="115"/>
      <c r="D229" s="115"/>
      <c r="E229" s="115"/>
      <c r="F229" s="115"/>
      <c r="G229" s="115"/>
      <c r="H229" s="115"/>
      <c r="I229" s="115"/>
      <c r="J229" s="116"/>
      <c r="K229" s="111">
        <f>K227/(SUM(O48,O63,O82,O101,O117)*14+O131*12)</f>
        <v>0.23804406233207953</v>
      </c>
      <c r="L229" s="112"/>
      <c r="M229" s="112"/>
      <c r="N229" s="112"/>
      <c r="O229" s="112"/>
      <c r="P229" s="112"/>
      <c r="Q229" s="112"/>
      <c r="R229" s="112"/>
      <c r="S229" s="112"/>
      <c r="T229" s="112"/>
      <c r="U229" s="113"/>
    </row>
    <row r="230" spans="1:27" x14ac:dyDescent="0.2">
      <c r="B230" s="2"/>
      <c r="C230" s="2"/>
      <c r="D230" s="2"/>
      <c r="E230" s="2"/>
      <c r="F230" s="2"/>
      <c r="G230" s="2"/>
      <c r="M230" s="7"/>
      <c r="N230" s="44"/>
      <c r="O230" s="7"/>
      <c r="P230" s="7"/>
      <c r="Q230" s="7"/>
      <c r="R230" s="7"/>
      <c r="S230" s="7"/>
      <c r="T230" s="7"/>
    </row>
    <row r="231" spans="1:27" ht="30.75" customHeight="1" x14ac:dyDescent="0.2">
      <c r="A231" s="131" t="s">
        <v>64</v>
      </c>
      <c r="B231" s="146"/>
      <c r="C231" s="146"/>
      <c r="D231" s="146"/>
      <c r="E231" s="146"/>
      <c r="F231" s="146"/>
      <c r="G231" s="146"/>
      <c r="H231" s="146"/>
      <c r="I231" s="146"/>
      <c r="J231" s="146"/>
      <c r="K231" s="146"/>
      <c r="L231" s="146"/>
      <c r="M231" s="146"/>
      <c r="N231" s="146"/>
      <c r="O231" s="146"/>
      <c r="P231" s="146"/>
      <c r="Q231" s="146"/>
      <c r="R231" s="146"/>
      <c r="S231" s="146"/>
      <c r="T231" s="146"/>
      <c r="U231" s="146"/>
    </row>
    <row r="232" spans="1:27" ht="26.25" customHeight="1" x14ac:dyDescent="0.2">
      <c r="A232" s="131" t="s">
        <v>30</v>
      </c>
      <c r="B232" s="131" t="s">
        <v>29</v>
      </c>
      <c r="C232" s="131"/>
      <c r="D232" s="131"/>
      <c r="E232" s="131"/>
      <c r="F232" s="131"/>
      <c r="G232" s="131"/>
      <c r="H232" s="131"/>
      <c r="I232" s="131"/>
      <c r="J232" s="145" t="s">
        <v>43</v>
      </c>
      <c r="K232" s="207" t="s">
        <v>27</v>
      </c>
      <c r="L232" s="208"/>
      <c r="M232" s="208"/>
      <c r="N232" s="209"/>
      <c r="O232" s="145" t="s">
        <v>44</v>
      </c>
      <c r="P232" s="145"/>
      <c r="Q232" s="145"/>
      <c r="R232" s="145" t="s">
        <v>26</v>
      </c>
      <c r="S232" s="145"/>
      <c r="T232" s="145"/>
      <c r="U232" s="145" t="s">
        <v>25</v>
      </c>
    </row>
    <row r="233" spans="1:27" ht="16.5" customHeight="1" x14ac:dyDescent="0.2">
      <c r="A233" s="131"/>
      <c r="B233" s="131"/>
      <c r="C233" s="131"/>
      <c r="D233" s="131"/>
      <c r="E233" s="131"/>
      <c r="F233" s="131"/>
      <c r="G233" s="131"/>
      <c r="H233" s="131"/>
      <c r="I233" s="131"/>
      <c r="J233" s="145"/>
      <c r="K233" s="23" t="s">
        <v>31</v>
      </c>
      <c r="L233" s="23" t="s">
        <v>32</v>
      </c>
      <c r="M233" s="23" t="s">
        <v>33</v>
      </c>
      <c r="N233" s="48" t="s">
        <v>108</v>
      </c>
      <c r="O233" s="23" t="s">
        <v>37</v>
      </c>
      <c r="P233" s="23" t="s">
        <v>8</v>
      </c>
      <c r="Q233" s="23" t="s">
        <v>34</v>
      </c>
      <c r="R233" s="23" t="s">
        <v>35</v>
      </c>
      <c r="S233" s="23" t="s">
        <v>31</v>
      </c>
      <c r="T233" s="23" t="s">
        <v>36</v>
      </c>
      <c r="U233" s="145"/>
    </row>
    <row r="234" spans="1:27" ht="15.75" customHeight="1" x14ac:dyDescent="0.2">
      <c r="A234" s="132" t="s">
        <v>62</v>
      </c>
      <c r="B234" s="133"/>
      <c r="C234" s="133"/>
      <c r="D234" s="133"/>
      <c r="E234" s="133"/>
      <c r="F234" s="133"/>
      <c r="G234" s="133"/>
      <c r="H234" s="133"/>
      <c r="I234" s="133"/>
      <c r="J234" s="133"/>
      <c r="K234" s="133"/>
      <c r="L234" s="133"/>
      <c r="M234" s="133"/>
      <c r="N234" s="133"/>
      <c r="O234" s="133"/>
      <c r="P234" s="133"/>
      <c r="Q234" s="133"/>
      <c r="R234" s="133"/>
      <c r="S234" s="133"/>
      <c r="T234" s="133"/>
      <c r="U234" s="134"/>
    </row>
    <row r="235" spans="1:27" x14ac:dyDescent="0.2">
      <c r="A235" s="24" t="str">
        <f>IF(ISNA(INDEX($A$37:$U$202,MATCH($B235,$B$37:$B$202,0),1)),"",INDEX($A$37:$U$202,MATCH($B235,$B$37:$B$202,0),1))</f>
        <v>VLR1464</v>
      </c>
      <c r="B235" s="135" t="s">
        <v>144</v>
      </c>
      <c r="C235" s="135"/>
      <c r="D235" s="135"/>
      <c r="E235" s="135"/>
      <c r="F235" s="135"/>
      <c r="G235" s="135"/>
      <c r="H235" s="135"/>
      <c r="I235" s="135"/>
      <c r="J235" s="14">
        <f>IF(ISNA(INDEX($A$37:$U$202,MATCH($B235,$B$37:$B$202,0),10)),"",INDEX($A$37:$U$202,MATCH($B235,$B$37:$B$202,0),10))</f>
        <v>5</v>
      </c>
      <c r="K235" s="14">
        <f>IF(ISNA(INDEX($A$37:$U$202,MATCH($B235,$B$37:$B$202,0),11)),"",INDEX($A$37:$U$202,MATCH($B235,$B$37:$B$202,0),11))</f>
        <v>2</v>
      </c>
      <c r="L235" s="14">
        <f>IF(ISNA(INDEX($A$37:$U$202,MATCH($B235,$B$37:$B$202,0),12)),"",INDEX($A$37:$U$202,MATCH($B235,$B$37:$B$202,0),12))</f>
        <v>0</v>
      </c>
      <c r="M235" s="14">
        <f>IF(ISNA(INDEX($A$37:$U$202,MATCH($B235,$B$37:$B$202,0),13)),"",INDEX($A$37:$U$202,MATCH($B235,$B$37:$B$202,0),13))</f>
        <v>2</v>
      </c>
      <c r="N235" s="51">
        <f>IF(ISNA(INDEX($A$37:$U$202,MATCH($B235,$B$37:$B$202,0),14)),"",INDEX($A$37:$U$202,MATCH($B235,$B$37:$B$202,0),14))</f>
        <v>0</v>
      </c>
      <c r="O235" s="51">
        <f>IF(ISNA(INDEX($A$37:$U$181,MATCH($B235,$B$37:$B$181,0),15)),"",INDEX($A$37:$U$181,MATCH($B235,$B$37:$B$181,0),15))</f>
        <v>4</v>
      </c>
      <c r="P235" s="51">
        <f>IF(ISNA(INDEX($A$37:$U$181,MATCH($B235,$B$37:$B$181,0),16)),"",INDEX($A$37:$U$181,MATCH($B235,$B$37:$B$181,0),16))</f>
        <v>5</v>
      </c>
      <c r="Q235" s="51">
        <f>IF(ISNA(INDEX($A$37:$U$181,MATCH($B235,$B$37:$B$181,0),17)),"",INDEX($A$37:$U$181,MATCH($B235,$B$37:$B$181,0),17))</f>
        <v>9</v>
      </c>
      <c r="R235" s="22">
        <f>IF(ISNA(INDEX($A$37:$U$181,MATCH($B235,$B$37:$B$181,0),18)),"",INDEX($A$37:$U$181,MATCH($B235,$B$37:$B$181,0),18))</f>
        <v>0</v>
      </c>
      <c r="S235" s="22">
        <f>IF(ISNA(INDEX($A$37:$U$181,MATCH($B235,$B$37:$B$181,0),19)),"",INDEX($A$37:$U$181,MATCH($B235,$B$37:$B$181,0),19))</f>
        <v>0</v>
      </c>
      <c r="T235" s="22" t="str">
        <f>IF(ISNA(INDEX($A$37:$U$181,MATCH($B235,$B$37:$B$181,0),20)),"",INDEX($A$37:$U$181,MATCH($B235,$B$37:$B$181,0),20))</f>
        <v>VP</v>
      </c>
      <c r="U235" s="22" t="str">
        <f>IF(ISNA(INDEX($A$37:$U$181,MATCH($B235,$B$37:$B$181,0),21)),"",INDEX($A$37:$U$181,MATCH($B235,$B$37:$B$181,0),21))</f>
        <v>DS</v>
      </c>
    </row>
    <row r="236" spans="1:27" x14ac:dyDescent="0.2">
      <c r="A236" s="24" t="str">
        <f>IF(ISNA(INDEX($A$37:$U$202,MATCH($B236,$B$37:$B$202,0),1)),"",INDEX($A$37:$U$202,MATCH($B236,$B$37:$B$202,0),1))</f>
        <v>VLR1463</v>
      </c>
      <c r="B236" s="135" t="s">
        <v>235</v>
      </c>
      <c r="C236" s="135"/>
      <c r="D236" s="135"/>
      <c r="E236" s="135"/>
      <c r="F236" s="135"/>
      <c r="G236" s="135"/>
      <c r="H236" s="135"/>
      <c r="I236" s="135"/>
      <c r="J236" s="14">
        <f>IF(ISNA(INDEX($A$37:$U$202,MATCH($B236,$B$37:$B$202,0),10)),"",INDEX($A$37:$U$202,MATCH($B236,$B$37:$B$202,0),10))</f>
        <v>3</v>
      </c>
      <c r="K236" s="14">
        <f>IF(ISNA(INDEX($A$37:$U$202,MATCH($B236,$B$37:$B$202,0),11)),"",INDEX($A$37:$U$202,MATCH($B236,$B$37:$B$202,0),11))</f>
        <v>0</v>
      </c>
      <c r="L236" s="14">
        <f>IF(ISNA(INDEX($A$37:$U$202,MATCH($B236,$B$37:$B$202,0),12)),"",INDEX($A$37:$U$202,MATCH($B236,$B$37:$B$202,0),12))</f>
        <v>0</v>
      </c>
      <c r="M236" s="14">
        <f>IF(ISNA(INDEX($A$37:$U$202,MATCH($B236,$B$37:$B$202,0),13)),"",INDEX($A$37:$U$202,MATCH($B236,$B$37:$B$202,0),13))</f>
        <v>0</v>
      </c>
      <c r="N236" s="51">
        <f>IF(ISNA(INDEX($A$37:$U$202,MATCH($B236,$B$37:$B$202,0),14)),"",INDEX($A$37:$U$202,MATCH($B236,$B$37:$B$202,0),14))</f>
        <v>0</v>
      </c>
      <c r="O236" s="51">
        <f>IF(ISNA(INDEX($A$37:$U$181,MATCH($B236,$B$37:$B$181,0),15)),"",INDEX($A$37:$U$181,MATCH($B236,$B$37:$B$181,0),15))</f>
        <v>0</v>
      </c>
      <c r="P236" s="51">
        <f>IF(ISNA(INDEX($A$37:$U$181,MATCH($B236,$B$37:$B$181,0),16)),"",INDEX($A$37:$U$181,MATCH($B236,$B$37:$B$181,0),16))</f>
        <v>5</v>
      </c>
      <c r="Q236" s="51">
        <f>IF(ISNA(INDEX($A$37:$U$181,MATCH($B236,$B$37:$B$181,0),17)),"",INDEX($A$37:$U$181,MATCH($B236,$B$37:$B$181,0),17))</f>
        <v>5</v>
      </c>
      <c r="R236" s="22">
        <f>IF(ISNA(INDEX($A$37:$U$181,MATCH($B236,$B$37:$B$181,0),18)),"",INDEX($A$37:$U$181,MATCH($B236,$B$37:$B$181,0),18))</f>
        <v>0</v>
      </c>
      <c r="S236" s="22" t="str">
        <f>IF(ISNA(INDEX($A$37:$U$181,MATCH($B236,$B$37:$B$181,0),19)),"",INDEX($A$37:$U$181,MATCH($B236,$B$37:$B$181,0),19))</f>
        <v>C</v>
      </c>
      <c r="T236" s="22">
        <f>IF(ISNA(INDEX($A$37:$U$181,MATCH($B236,$B$37:$B$181,0),20)),"",INDEX($A$37:$U$181,MATCH($B236,$B$37:$B$181,0),20))</f>
        <v>0</v>
      </c>
      <c r="U236" s="22" t="str">
        <f>IF(ISNA(INDEX($A$37:$U$181,MATCH($B236,$B$37:$B$181,0),21)),"",INDEX($A$37:$U$181,MATCH($B236,$B$37:$B$181,0),21))</f>
        <v>DS</v>
      </c>
    </row>
    <row r="237" spans="1:27" x14ac:dyDescent="0.2">
      <c r="A237" s="24" t="str">
        <f>IF(ISNA(INDEX($A$37:$U$202,MATCH($B237,$B$37:$B$202,0),1)),"",INDEX($A$37:$U$202,MATCH($B237,$B$37:$B$202,0),1))</f>
        <v>VLR2469</v>
      </c>
      <c r="B237" s="135" t="s">
        <v>148</v>
      </c>
      <c r="C237" s="135"/>
      <c r="D237" s="135"/>
      <c r="E237" s="135"/>
      <c r="F237" s="135"/>
      <c r="G237" s="135"/>
      <c r="H237" s="135"/>
      <c r="I237" s="135"/>
      <c r="J237" s="14">
        <f>IF(ISNA(INDEX($A$37:$U$202,MATCH($B237,$B$37:$B$202,0),10)),"",INDEX($A$37:$U$202,MATCH($B237,$B$37:$B$202,0),10))</f>
        <v>4</v>
      </c>
      <c r="K237" s="14">
        <f>IF(ISNA(INDEX($A$37:$U$202,MATCH($B237,$B$37:$B$202,0),11)),"",INDEX($A$37:$U$202,MATCH($B237,$B$37:$B$202,0),11))</f>
        <v>1</v>
      </c>
      <c r="L237" s="14">
        <f>IF(ISNA(INDEX($A$37:$U$202,MATCH($B237,$B$37:$B$202,0),12)),"",INDEX($A$37:$U$202,MATCH($B237,$B$37:$B$202,0),12))</f>
        <v>0</v>
      </c>
      <c r="M237" s="14">
        <f>IF(ISNA(INDEX($A$37:$U$202,MATCH($B237,$B$37:$B$202,0),13)),"",INDEX($A$37:$U$202,MATCH($B237,$B$37:$B$202,0),13))</f>
        <v>2</v>
      </c>
      <c r="N237" s="51">
        <f>IF(ISNA(INDEX($A$37:$U$202,MATCH($B237,$B$37:$B$202,0),14)),"",INDEX($A$37:$U$202,MATCH($B237,$B$37:$B$202,0),14))</f>
        <v>0</v>
      </c>
      <c r="O237" s="51">
        <f>IF(ISNA(INDEX($A$37:$U$181,MATCH($B237,$B$37:$B$181,0),15)),"",INDEX($A$37:$U$181,MATCH($B237,$B$37:$B$181,0),15))</f>
        <v>3</v>
      </c>
      <c r="P237" s="51">
        <f>IF(ISNA(INDEX($A$37:$U$181,MATCH($B237,$B$37:$B$181,0),16)),"",INDEX($A$37:$U$181,MATCH($B237,$B$37:$B$181,0),16))</f>
        <v>4</v>
      </c>
      <c r="Q237" s="51">
        <f>IF(ISNA(INDEX($A$37:$U$181,MATCH($B237,$B$37:$B$181,0),17)),"",INDEX($A$37:$U$181,MATCH($B237,$B$37:$B$181,0),17))</f>
        <v>7</v>
      </c>
      <c r="R237" s="22" t="str">
        <f>IF(ISNA(INDEX($A$37:$U$181,MATCH($B237,$B$37:$B$181,0),18)),"",INDEX($A$37:$U$181,MATCH($B237,$B$37:$B$181,0),18))</f>
        <v>E</v>
      </c>
      <c r="S237" s="22">
        <f>IF(ISNA(INDEX($A$37:$U$181,MATCH($B237,$B$37:$B$181,0),19)),"",INDEX($A$37:$U$181,MATCH($B237,$B$37:$B$181,0),19))</f>
        <v>0</v>
      </c>
      <c r="T237" s="22">
        <f>IF(ISNA(INDEX($A$37:$U$181,MATCH($B237,$B$37:$B$181,0),20)),"",INDEX($A$37:$U$181,MATCH($B237,$B$37:$B$181,0),20))</f>
        <v>0</v>
      </c>
      <c r="U237" s="22" t="str">
        <f>IF(ISNA(INDEX($A$37:$U$181,MATCH($B237,$B$37:$B$181,0),21)),"",INDEX($A$37:$U$181,MATCH($B237,$B$37:$B$181,0),21))</f>
        <v>DS</v>
      </c>
    </row>
    <row r="238" spans="1:27" ht="12.75" customHeight="1" x14ac:dyDescent="0.2">
      <c r="A238" s="24" t="str">
        <f>IF(ISNA(INDEX($A$37:$U$202,MATCH($B238,$B$37:$B$202,0),1)),"",INDEX($A$37:$U$202,MATCH($B238,$B$37:$B$202,0),1))</f>
        <v>VLR3468</v>
      </c>
      <c r="B238" s="135" t="s">
        <v>162</v>
      </c>
      <c r="C238" s="135"/>
      <c r="D238" s="135"/>
      <c r="E238" s="135"/>
      <c r="F238" s="135"/>
      <c r="G238" s="135"/>
      <c r="H238" s="135"/>
      <c r="I238" s="135"/>
      <c r="J238" s="14">
        <f>IF(ISNA(INDEX($A$37:$U$202,MATCH($B238,$B$37:$B$202,0),10)),"",INDEX($A$37:$U$202,MATCH($B238,$B$37:$B$202,0),10))</f>
        <v>6</v>
      </c>
      <c r="K238" s="14">
        <f>IF(ISNA(INDEX($A$37:$U$202,MATCH($B238,$B$37:$B$202,0),11)),"",INDEX($A$37:$U$202,MATCH($B238,$B$37:$B$202,0),11))</f>
        <v>2</v>
      </c>
      <c r="L238" s="14">
        <f>IF(ISNA(INDEX($A$37:$U$202,MATCH($B238,$B$37:$B$202,0),12)),"",INDEX($A$37:$U$202,MATCH($B238,$B$37:$B$202,0),12))</f>
        <v>0</v>
      </c>
      <c r="M238" s="14">
        <f>IF(ISNA(INDEX($A$37:$U$202,MATCH($B238,$B$37:$B$202,0),13)),"",INDEX($A$37:$U$202,MATCH($B238,$B$37:$B$202,0),13))</f>
        <v>2</v>
      </c>
      <c r="N238" s="51">
        <f>IF(ISNA(INDEX($A$37:$U$202,MATCH($B238,$B$37:$B$202,0),14)),"",INDEX($A$37:$U$202,MATCH($B238,$B$37:$B$202,0),14))</f>
        <v>0</v>
      </c>
      <c r="O238" s="51">
        <f>IF(ISNA(INDEX($A$37:$U$181,MATCH($B238,$B$37:$B$181,0),15)),"",INDEX($A$37:$U$181,MATCH($B238,$B$37:$B$181,0),15))</f>
        <v>4</v>
      </c>
      <c r="P238" s="51">
        <f>IF(ISNA(INDEX($A$37:$U$181,MATCH($B238,$B$37:$B$181,0),16)),"",INDEX($A$37:$U$181,MATCH($B238,$B$37:$B$181,0),16))</f>
        <v>7</v>
      </c>
      <c r="Q238" s="51">
        <f>IF(ISNA(INDEX($A$37:$U$181,MATCH($B238,$B$37:$B$181,0),17)),"",INDEX($A$37:$U$181,MATCH($B238,$B$37:$B$181,0),17))</f>
        <v>11</v>
      </c>
      <c r="R238" s="22" t="str">
        <f>IF(ISNA(INDEX($A$37:$U$181,MATCH($B238,$B$37:$B$181,0),18)),"",INDEX($A$37:$U$181,MATCH($B238,$B$37:$B$181,0),18))</f>
        <v>E</v>
      </c>
      <c r="S238" s="22">
        <f>IF(ISNA(INDEX($A$37:$U$181,MATCH($B238,$B$37:$B$181,0),19)),"",INDEX($A$37:$U$181,MATCH($B238,$B$37:$B$181,0),19))</f>
        <v>0</v>
      </c>
      <c r="T238" s="22">
        <f>IF(ISNA(INDEX($A$37:$U$181,MATCH($B238,$B$37:$B$181,0),20)),"",INDEX($A$37:$U$181,MATCH($B238,$B$37:$B$181,0),20))</f>
        <v>0</v>
      </c>
      <c r="U238" s="22" t="str">
        <f>IF(ISNA(INDEX($A$37:$U$181,MATCH($B238,$B$37:$B$181,0),21)),"",INDEX($A$37:$U$181,MATCH($B238,$B$37:$B$181,0),21))</f>
        <v>DS</v>
      </c>
      <c r="V238" s="83"/>
      <c r="W238" s="83"/>
      <c r="X238" s="68"/>
      <c r="Y238" s="68"/>
      <c r="Z238" s="68"/>
      <c r="AA238" s="68"/>
    </row>
    <row r="239" spans="1:27" s="58" customFormat="1" x14ac:dyDescent="0.2">
      <c r="A239" s="24" t="str">
        <f>IF(ISNA(INDEX($A$37:$U$202,MATCH($B239,$B$37:$B$202,0),1)),"",INDEX($A$37:$U$202,MATCH($B239,$B$37:$B$202,0),1))</f>
        <v>VLR3467</v>
      </c>
      <c r="B239" s="135" t="s">
        <v>164</v>
      </c>
      <c r="C239" s="135"/>
      <c r="D239" s="135"/>
      <c r="E239" s="135"/>
      <c r="F239" s="135"/>
      <c r="G239" s="135"/>
      <c r="H239" s="135"/>
      <c r="I239" s="135"/>
      <c r="J239" s="14">
        <f>IF(ISNA(INDEX($A$37:$U$202,MATCH($B239,$B$37:$B$202,0),10)),"",INDEX($A$37:$U$202,MATCH($B239,$B$37:$B$202,0),10))</f>
        <v>6</v>
      </c>
      <c r="K239" s="14">
        <f>IF(ISNA(INDEX($A$37:$U$202,MATCH($B239,$B$37:$B$202,0),11)),"",INDEX($A$37:$U$202,MATCH($B239,$B$37:$B$202,0),11))</f>
        <v>2</v>
      </c>
      <c r="L239" s="14">
        <f>IF(ISNA(INDEX($A$37:$U$202,MATCH($B239,$B$37:$B$202,0),12)),"",INDEX($A$37:$U$202,MATCH($B239,$B$37:$B$202,0),12))</f>
        <v>0</v>
      </c>
      <c r="M239" s="14">
        <f>IF(ISNA(INDEX($A$37:$U$202,MATCH($B239,$B$37:$B$202,0),13)),"",INDEX($A$37:$U$202,MATCH($B239,$B$37:$B$202,0),13))</f>
        <v>2</v>
      </c>
      <c r="N239" s="51">
        <f>IF(ISNA(INDEX($A$37:$U$202,MATCH($B239,$B$37:$B$202,0),14)),"",INDEX($A$37:$U$202,MATCH($B239,$B$37:$B$202,0),14))</f>
        <v>0</v>
      </c>
      <c r="O239" s="51">
        <f>IF(ISNA(INDEX($A$37:$U$181,MATCH($B239,$B$37:$B$181,0),15)),"",INDEX($A$37:$U$181,MATCH($B239,$B$37:$B$181,0),15))</f>
        <v>4</v>
      </c>
      <c r="P239" s="51">
        <f>IF(ISNA(INDEX($A$37:$U$181,MATCH($B239,$B$37:$B$181,0),16)),"",INDEX($A$37:$U$181,MATCH($B239,$B$37:$B$181,0),16))</f>
        <v>7</v>
      </c>
      <c r="Q239" s="51">
        <f>IF(ISNA(INDEX($A$37:$U$181,MATCH($B239,$B$37:$B$181,0),17)),"",INDEX($A$37:$U$181,MATCH($B239,$B$37:$B$181,0),17))</f>
        <v>11</v>
      </c>
      <c r="R239" s="22" t="str">
        <f>IF(ISNA(INDEX($A$37:$U$181,MATCH($B239,$B$37:$B$181,0),18)),"",INDEX($A$37:$U$181,MATCH($B239,$B$37:$B$181,0),18))</f>
        <v>E</v>
      </c>
      <c r="S239" s="22">
        <f>IF(ISNA(INDEX($A$37:$U$181,MATCH($B239,$B$37:$B$181,0),19)),"",INDEX($A$37:$U$181,MATCH($B239,$B$37:$B$181,0),19))</f>
        <v>0</v>
      </c>
      <c r="T239" s="22">
        <f>IF(ISNA(INDEX($A$37:$U$181,MATCH($B239,$B$37:$B$181,0),20)),"",INDEX($A$37:$U$181,MATCH($B239,$B$37:$B$181,0),20))</f>
        <v>0</v>
      </c>
      <c r="U239" s="22" t="str">
        <f>IF(ISNA(INDEX($A$37:$U$181,MATCH($B239,$B$37:$B$181,0),21)),"",INDEX($A$37:$U$181,MATCH($B239,$B$37:$B$181,0),21))</f>
        <v>DS</v>
      </c>
      <c r="V239" s="83"/>
      <c r="W239" s="83"/>
      <c r="X239" s="68"/>
      <c r="Y239" s="68"/>
      <c r="Z239" s="68"/>
      <c r="AA239" s="68"/>
    </row>
    <row r="240" spans="1:27" s="58" customFormat="1" x14ac:dyDescent="0.2">
      <c r="A240" s="24" t="str">
        <f>IF(ISNA(INDEX($A$37:$U$202,MATCH($B240,$B$37:$B$202,0),1)),"",INDEX($A$37:$U$202,MATCH($B240,$B$37:$B$202,0),1))</f>
        <v>VLR3438</v>
      </c>
      <c r="B240" s="135" t="s">
        <v>168</v>
      </c>
      <c r="C240" s="135"/>
      <c r="D240" s="135"/>
      <c r="E240" s="135"/>
      <c r="F240" s="135"/>
      <c r="G240" s="135"/>
      <c r="H240" s="135"/>
      <c r="I240" s="135"/>
      <c r="J240" s="14">
        <f>IF(ISNA(INDEX($A$37:$U$202,MATCH($B240,$B$37:$B$202,0),10)),"",INDEX($A$37:$U$202,MATCH($B240,$B$37:$B$202,0),10))</f>
        <v>3</v>
      </c>
      <c r="K240" s="14">
        <f>IF(ISNA(INDEX($A$37:$U$202,MATCH($B240,$B$37:$B$202,0),11)),"",INDEX($A$37:$U$202,MATCH($B240,$B$37:$B$202,0),11))</f>
        <v>1</v>
      </c>
      <c r="L240" s="14">
        <f>IF(ISNA(INDEX($A$37:$U$202,MATCH($B240,$B$37:$B$202,0),12)),"",INDEX($A$37:$U$202,MATCH($B240,$B$37:$B$202,0),12))</f>
        <v>0</v>
      </c>
      <c r="M240" s="14">
        <f>IF(ISNA(INDEX($A$37:$U$202,MATCH($B240,$B$37:$B$202,0),13)),"",INDEX($A$37:$U$202,MATCH($B240,$B$37:$B$202,0),13))</f>
        <v>1</v>
      </c>
      <c r="N240" s="51">
        <f>IF(ISNA(INDEX($A$37:$U$202,MATCH($B240,$B$37:$B$202,0),14)),"",INDEX($A$37:$U$202,MATCH($B240,$B$37:$B$202,0),14))</f>
        <v>0</v>
      </c>
      <c r="O240" s="51">
        <f>IF(ISNA(INDEX($A$37:$U$181,MATCH($B240,$B$37:$B$181,0),15)),"",INDEX($A$37:$U$181,MATCH($B240,$B$37:$B$181,0),15))</f>
        <v>2</v>
      </c>
      <c r="P240" s="51">
        <f>IF(ISNA(INDEX($A$37:$U$181,MATCH($B240,$B$37:$B$181,0),16)),"",INDEX($A$37:$U$181,MATCH($B240,$B$37:$B$181,0),16))</f>
        <v>3</v>
      </c>
      <c r="Q240" s="51">
        <f>IF(ISNA(INDEX($A$37:$U$181,MATCH($B240,$B$37:$B$181,0),17)),"",INDEX($A$37:$U$181,MATCH($B240,$B$37:$B$181,0),17))</f>
        <v>5</v>
      </c>
      <c r="R240" s="22" t="str">
        <f>IF(ISNA(INDEX($A$37:$U$181,MATCH($B240,$B$37:$B$181,0),18)),"",INDEX($A$37:$U$181,MATCH($B240,$B$37:$B$181,0),18))</f>
        <v>E</v>
      </c>
      <c r="S240" s="22">
        <f>IF(ISNA(INDEX($A$37:$U$181,MATCH($B240,$B$37:$B$181,0),19)),"",INDEX($A$37:$U$181,MATCH($B240,$B$37:$B$181,0),19))</f>
        <v>0</v>
      </c>
      <c r="T240" s="22">
        <f>IF(ISNA(INDEX($A$37:$U$181,MATCH($B240,$B$37:$B$181,0),20)),"",INDEX($A$37:$U$181,MATCH($B240,$B$37:$B$181,0),20))</f>
        <v>0</v>
      </c>
      <c r="U240" s="22" t="str">
        <f>IF(ISNA(INDEX($A$37:$U$181,MATCH($B240,$B$37:$B$181,0),21)),"",INDEX($A$37:$U$181,MATCH($B240,$B$37:$B$181,0),21))</f>
        <v>DS</v>
      </c>
      <c r="V240" s="83"/>
      <c r="W240" s="83"/>
      <c r="X240" s="68"/>
      <c r="Y240" s="68"/>
      <c r="Z240" s="68"/>
      <c r="AA240" s="68"/>
    </row>
    <row r="241" spans="1:27" s="58" customFormat="1" x14ac:dyDescent="0.2">
      <c r="A241" s="24" t="str">
        <f>IF(ISNA(INDEX($A$37:$U$202,MATCH($B241,$B$37:$B$202,0),1)),"",INDEX($A$37:$U$202,MATCH($B241,$B$37:$B$202,0),1))</f>
        <v>VLX3430</v>
      </c>
      <c r="B241" s="135" t="s">
        <v>170</v>
      </c>
      <c r="C241" s="135"/>
      <c r="D241" s="135"/>
      <c r="E241" s="135"/>
      <c r="F241" s="135"/>
      <c r="G241" s="135"/>
      <c r="H241" s="135"/>
      <c r="I241" s="135"/>
      <c r="J241" s="14">
        <f>IF(ISNA(INDEX($A$37:$U$202,MATCH($B241,$B$37:$B$202,0),10)),"",INDEX($A$37:$U$202,MATCH($B241,$B$37:$B$202,0),10))</f>
        <v>4</v>
      </c>
      <c r="K241" s="14">
        <f>IF(ISNA(INDEX($A$37:$U$202,MATCH($B241,$B$37:$B$202,0),11)),"",INDEX($A$37:$U$202,MATCH($B241,$B$37:$B$202,0),11))</f>
        <v>1</v>
      </c>
      <c r="L241" s="14">
        <f>IF(ISNA(INDEX($A$37:$U$202,MATCH($B241,$B$37:$B$202,0),12)),"",INDEX($A$37:$U$202,MATCH($B241,$B$37:$B$202,0),12))</f>
        <v>0</v>
      </c>
      <c r="M241" s="14">
        <f>IF(ISNA(INDEX($A$37:$U$202,MATCH($B241,$B$37:$B$202,0),13)),"",INDEX($A$37:$U$202,MATCH($B241,$B$37:$B$202,0),13))</f>
        <v>2</v>
      </c>
      <c r="N241" s="51">
        <f>IF(ISNA(INDEX($A$37:$U$202,MATCH($B241,$B$37:$B$202,0),14)),"",INDEX($A$37:$U$202,MATCH($B241,$B$37:$B$202,0),14))</f>
        <v>0</v>
      </c>
      <c r="O241" s="51">
        <f>IF(ISNA(INDEX($A$37:$U$181,MATCH($B241,$B$37:$B$181,0),15)),"",INDEX($A$37:$U$181,MATCH($B241,$B$37:$B$181,0),15))</f>
        <v>3</v>
      </c>
      <c r="P241" s="51">
        <f>IF(ISNA(INDEX($A$37:$U$181,MATCH($B241,$B$37:$B$181,0),16)),"",INDEX($A$37:$U$181,MATCH($B241,$B$37:$B$181,0),16))</f>
        <v>4</v>
      </c>
      <c r="Q241" s="51">
        <f>IF(ISNA(INDEX($A$37:$U$181,MATCH($B241,$B$37:$B$181,0),17)),"",INDEX($A$37:$U$181,MATCH($B241,$B$37:$B$181,0),17))</f>
        <v>7</v>
      </c>
      <c r="R241" s="22">
        <f>IF(ISNA(INDEX($A$37:$U$181,MATCH($B241,$B$37:$B$181,0),18)),"",INDEX($A$37:$U$181,MATCH($B241,$B$37:$B$181,0),18))</f>
        <v>0</v>
      </c>
      <c r="S241" s="22">
        <f>IF(ISNA(INDEX($A$37:$U$181,MATCH($B241,$B$37:$B$181,0),19)),"",INDEX($A$37:$U$181,MATCH($B241,$B$37:$B$181,0),19))</f>
        <v>0</v>
      </c>
      <c r="T241" s="22" t="str">
        <f>IF(ISNA(INDEX($A$37:$U$181,MATCH($B241,$B$37:$B$181,0),20)),"",INDEX($A$37:$U$181,MATCH($B241,$B$37:$B$181,0),20))</f>
        <v>VP</v>
      </c>
      <c r="U241" s="22" t="str">
        <f>IF(ISNA(INDEX($A$37:$U$181,MATCH($B241,$B$37:$B$181,0),21)),"",INDEX($A$37:$U$181,MATCH($B241,$B$37:$B$181,0),21))</f>
        <v>DS</v>
      </c>
      <c r="V241" s="83"/>
      <c r="W241" s="83"/>
      <c r="X241" s="68"/>
      <c r="Y241" s="68"/>
      <c r="Z241" s="68"/>
      <c r="AA241" s="68"/>
    </row>
    <row r="242" spans="1:27" s="58" customFormat="1" x14ac:dyDescent="0.2">
      <c r="A242" s="24" t="str">
        <f>IF(ISNA(INDEX($A$37:$U$202,MATCH($B242,$B$37:$B$202,0),1)),"",INDEX($A$37:$U$202,MATCH($B242,$B$37:$B$202,0),1))</f>
        <v>VLR4468</v>
      </c>
      <c r="B242" s="135" t="s">
        <v>174</v>
      </c>
      <c r="C242" s="135"/>
      <c r="D242" s="135"/>
      <c r="E242" s="135"/>
      <c r="F242" s="135"/>
      <c r="G242" s="135"/>
      <c r="H242" s="135"/>
      <c r="I242" s="135"/>
      <c r="J242" s="14">
        <f>IF(ISNA(INDEX($A$37:$U$202,MATCH($B242,$B$37:$B$202,0),10)),"",INDEX($A$37:$U$202,MATCH($B242,$B$37:$B$202,0),10))</f>
        <v>5</v>
      </c>
      <c r="K242" s="14">
        <f>IF(ISNA(INDEX($A$37:$U$202,MATCH($B242,$B$37:$B$202,0),11)),"",INDEX($A$37:$U$202,MATCH($B242,$B$37:$B$202,0),11))</f>
        <v>2</v>
      </c>
      <c r="L242" s="14">
        <f>IF(ISNA(INDEX($A$37:$U$202,MATCH($B242,$B$37:$B$202,0),12)),"",INDEX($A$37:$U$202,MATCH($B242,$B$37:$B$202,0),12))</f>
        <v>0</v>
      </c>
      <c r="M242" s="14">
        <f>IF(ISNA(INDEX($A$37:$U$202,MATCH($B242,$B$37:$B$202,0),13)),"",INDEX($A$37:$U$202,MATCH($B242,$B$37:$B$202,0),13))</f>
        <v>2</v>
      </c>
      <c r="N242" s="51">
        <f>IF(ISNA(INDEX($A$37:$U$202,MATCH($B242,$B$37:$B$202,0),14)),"",INDEX($A$37:$U$202,MATCH($B242,$B$37:$B$202,0),14))</f>
        <v>0</v>
      </c>
      <c r="O242" s="51">
        <f>IF(ISNA(INDEX($A$37:$U$181,MATCH($B242,$B$37:$B$181,0),15)),"",INDEX($A$37:$U$181,MATCH($B242,$B$37:$B$181,0),15))</f>
        <v>4</v>
      </c>
      <c r="P242" s="51">
        <f>IF(ISNA(INDEX($A$37:$U$181,MATCH($B242,$B$37:$B$181,0),16)),"",INDEX($A$37:$U$181,MATCH($B242,$B$37:$B$181,0),16))</f>
        <v>5</v>
      </c>
      <c r="Q242" s="51">
        <f>IF(ISNA(INDEX($A$37:$U$181,MATCH($B242,$B$37:$B$181,0),17)),"",INDEX($A$37:$U$181,MATCH($B242,$B$37:$B$181,0),17))</f>
        <v>9</v>
      </c>
      <c r="R242" s="22" t="str">
        <f>IF(ISNA(INDEX($A$37:$U$181,MATCH($B242,$B$37:$B$181,0),18)),"",INDEX($A$37:$U$181,MATCH($B242,$B$37:$B$181,0),18))</f>
        <v>E</v>
      </c>
      <c r="S242" s="22">
        <f>IF(ISNA(INDEX($A$37:$U$181,MATCH($B242,$B$37:$B$181,0),19)),"",INDEX($A$37:$U$181,MATCH($B242,$B$37:$B$181,0),19))</f>
        <v>0</v>
      </c>
      <c r="T242" s="22">
        <f>IF(ISNA(INDEX($A$37:$U$181,MATCH($B242,$B$37:$B$181,0),20)),"",INDEX($A$37:$U$181,MATCH($B242,$B$37:$B$181,0),20))</f>
        <v>0</v>
      </c>
      <c r="U242" s="22" t="str">
        <f>IF(ISNA(INDEX($A$37:$U$181,MATCH($B242,$B$37:$B$181,0),21)),"",INDEX($A$37:$U$181,MATCH($B242,$B$37:$B$181,0),21))</f>
        <v>DS</v>
      </c>
      <c r="V242" s="83"/>
      <c r="W242" s="83"/>
      <c r="X242" s="68"/>
      <c r="Y242" s="68"/>
      <c r="Z242" s="68"/>
      <c r="AA242" s="68"/>
    </row>
    <row r="243" spans="1:27" s="58" customFormat="1" x14ac:dyDescent="0.2">
      <c r="A243" s="24" t="str">
        <f>IF(ISNA(INDEX($A$37:$U$202,MATCH($B243,$B$37:$B$202,0),1)),"",INDEX($A$37:$U$202,MATCH($B243,$B$37:$B$202,0),1))</f>
        <v>VLR4439</v>
      </c>
      <c r="B243" s="135" t="s">
        <v>176</v>
      </c>
      <c r="C243" s="135"/>
      <c r="D243" s="135"/>
      <c r="E243" s="135"/>
      <c r="F243" s="135"/>
      <c r="G243" s="135"/>
      <c r="H243" s="135"/>
      <c r="I243" s="135"/>
      <c r="J243" s="14">
        <f>IF(ISNA(INDEX($A$37:$U$202,MATCH($B243,$B$37:$B$202,0),10)),"",INDEX($A$37:$U$202,MATCH($B243,$B$37:$B$202,0),10))</f>
        <v>4</v>
      </c>
      <c r="K243" s="14">
        <f>IF(ISNA(INDEX($A$37:$U$202,MATCH($B243,$B$37:$B$202,0),11)),"",INDEX($A$37:$U$202,MATCH($B243,$B$37:$B$202,0),11))</f>
        <v>1</v>
      </c>
      <c r="L243" s="14">
        <f>IF(ISNA(INDEX($A$37:$U$202,MATCH($B243,$B$37:$B$202,0),12)),"",INDEX($A$37:$U$202,MATCH($B243,$B$37:$B$202,0),12))</f>
        <v>0</v>
      </c>
      <c r="M243" s="14">
        <f>IF(ISNA(INDEX($A$37:$U$202,MATCH($B243,$B$37:$B$202,0),13)),"",INDEX($A$37:$U$202,MATCH($B243,$B$37:$B$202,0),13))</f>
        <v>2</v>
      </c>
      <c r="N243" s="51">
        <f>IF(ISNA(INDEX($A$37:$U$202,MATCH($B243,$B$37:$B$202,0),14)),"",INDEX($A$37:$U$202,MATCH($B243,$B$37:$B$202,0),14))</f>
        <v>0</v>
      </c>
      <c r="O243" s="51">
        <f>IF(ISNA(INDEX($A$37:$U$181,MATCH($B243,$B$37:$B$181,0),15)),"",INDEX($A$37:$U$181,MATCH($B243,$B$37:$B$181,0),15))</f>
        <v>3</v>
      </c>
      <c r="P243" s="51">
        <f>IF(ISNA(INDEX($A$37:$U$181,MATCH($B243,$B$37:$B$181,0),16)),"",INDEX($A$37:$U$181,MATCH($B243,$B$37:$B$181,0),16))</f>
        <v>4</v>
      </c>
      <c r="Q243" s="51">
        <f>IF(ISNA(INDEX($A$37:$U$181,MATCH($B243,$B$37:$B$181,0),17)),"",INDEX($A$37:$U$181,MATCH($B243,$B$37:$B$181,0),17))</f>
        <v>7</v>
      </c>
      <c r="R243" s="22" t="str">
        <f>IF(ISNA(INDEX($A$37:$U$181,MATCH($B243,$B$37:$B$181,0),18)),"",INDEX($A$37:$U$181,MATCH($B243,$B$37:$B$181,0),18))</f>
        <v>E</v>
      </c>
      <c r="S243" s="22">
        <f>IF(ISNA(INDEX($A$37:$U$181,MATCH($B243,$B$37:$B$181,0),19)),"",INDEX($A$37:$U$181,MATCH($B243,$B$37:$B$181,0),19))</f>
        <v>0</v>
      </c>
      <c r="T243" s="22">
        <f>IF(ISNA(INDEX($A$37:$U$181,MATCH($B243,$B$37:$B$181,0),20)),"",INDEX($A$37:$U$181,MATCH($B243,$B$37:$B$181,0),20))</f>
        <v>0</v>
      </c>
      <c r="U243" s="22" t="str">
        <f>IF(ISNA(INDEX($A$37:$U$181,MATCH($B243,$B$37:$B$181,0),21)),"",INDEX($A$37:$U$181,MATCH($B243,$B$37:$B$181,0),21))</f>
        <v>DS</v>
      </c>
      <c r="V243" s="83"/>
      <c r="W243" s="83"/>
      <c r="X243" s="68"/>
      <c r="Y243" s="68"/>
      <c r="Z243" s="68"/>
      <c r="AA243" s="68"/>
    </row>
    <row r="244" spans="1:27" s="58" customFormat="1" x14ac:dyDescent="0.2">
      <c r="A244" s="24" t="str">
        <f>IF(ISNA(INDEX($A$37:$U$202,MATCH($B244,$B$37:$B$202,0),1)),"",INDEX($A$37:$U$202,MATCH($B244,$B$37:$B$202,0),1))</f>
        <v>VLR4438</v>
      </c>
      <c r="B244" s="135" t="s">
        <v>178</v>
      </c>
      <c r="C244" s="135"/>
      <c r="D244" s="135"/>
      <c r="E244" s="135"/>
      <c r="F244" s="135"/>
      <c r="G244" s="135"/>
      <c r="H244" s="135"/>
      <c r="I244" s="135"/>
      <c r="J244" s="14">
        <f>IF(ISNA(INDEX($A$37:$U$202,MATCH($B244,$B$37:$B$202,0),10)),"",INDEX($A$37:$U$202,MATCH($B244,$B$37:$B$202,0),10))</f>
        <v>5</v>
      </c>
      <c r="K244" s="14">
        <f>IF(ISNA(INDEX($A$37:$U$202,MATCH($B244,$B$37:$B$202,0),11)),"",INDEX($A$37:$U$202,MATCH($B244,$B$37:$B$202,0),11))</f>
        <v>2</v>
      </c>
      <c r="L244" s="14">
        <f>IF(ISNA(INDEX($A$37:$U$202,MATCH($B244,$B$37:$B$202,0),12)),"",INDEX($A$37:$U$202,MATCH($B244,$B$37:$B$202,0),12))</f>
        <v>0</v>
      </c>
      <c r="M244" s="14">
        <f>IF(ISNA(INDEX($A$37:$U$202,MATCH($B244,$B$37:$B$202,0),13)),"",INDEX($A$37:$U$202,MATCH($B244,$B$37:$B$202,0),13))</f>
        <v>2</v>
      </c>
      <c r="N244" s="51">
        <f>IF(ISNA(INDEX($A$37:$U$202,MATCH($B244,$B$37:$B$202,0),14)),"",INDEX($A$37:$U$202,MATCH($B244,$B$37:$B$202,0),14))</f>
        <v>0</v>
      </c>
      <c r="O244" s="51">
        <f>IF(ISNA(INDEX($A$37:$U$181,MATCH($B244,$B$37:$B$181,0),15)),"",INDEX($A$37:$U$181,MATCH($B244,$B$37:$B$181,0),15))</f>
        <v>4</v>
      </c>
      <c r="P244" s="51">
        <f>IF(ISNA(INDEX($A$37:$U$181,MATCH($B244,$B$37:$B$181,0),16)),"",INDEX($A$37:$U$181,MATCH($B244,$B$37:$B$181,0),16))</f>
        <v>5</v>
      </c>
      <c r="Q244" s="51">
        <f>IF(ISNA(INDEX($A$37:$U$181,MATCH($B244,$B$37:$B$181,0),17)),"",INDEX($A$37:$U$181,MATCH($B244,$B$37:$B$181,0),17))</f>
        <v>9</v>
      </c>
      <c r="R244" s="22" t="str">
        <f>IF(ISNA(INDEX($A$37:$U$181,MATCH($B244,$B$37:$B$181,0),18)),"",INDEX($A$37:$U$181,MATCH($B244,$B$37:$B$181,0),18))</f>
        <v>E</v>
      </c>
      <c r="S244" s="22">
        <f>IF(ISNA(INDEX($A$37:$U$181,MATCH($B244,$B$37:$B$181,0),19)),"",INDEX($A$37:$U$181,MATCH($B244,$B$37:$B$181,0),19))</f>
        <v>0</v>
      </c>
      <c r="T244" s="22">
        <f>IF(ISNA(INDEX($A$37:$U$181,MATCH($B244,$B$37:$B$181,0),20)),"",INDEX($A$37:$U$181,MATCH($B244,$B$37:$B$181,0),20))</f>
        <v>0</v>
      </c>
      <c r="U244" s="22" t="str">
        <f>IF(ISNA(INDEX($A$37:$U$181,MATCH($B244,$B$37:$B$181,0),21)),"",INDEX($A$37:$U$181,MATCH($B244,$B$37:$B$181,0),21))</f>
        <v>DS</v>
      </c>
      <c r="V244" s="83"/>
      <c r="W244" s="83"/>
      <c r="X244" s="68"/>
      <c r="Y244" s="68"/>
      <c r="Z244" s="68"/>
      <c r="AA244" s="68"/>
    </row>
    <row r="245" spans="1:27" s="58" customFormat="1" x14ac:dyDescent="0.2">
      <c r="A245" s="24" t="str">
        <f>IF(ISNA(INDEX($A$37:$U$202,MATCH($B245,$B$37:$B$202,0),1)),"",INDEX($A$37:$U$202,MATCH($B245,$B$37:$B$202,0),1))</f>
        <v>VLX4430</v>
      </c>
      <c r="B245" s="135" t="s">
        <v>182</v>
      </c>
      <c r="C245" s="135"/>
      <c r="D245" s="135"/>
      <c r="E245" s="135"/>
      <c r="F245" s="135"/>
      <c r="G245" s="135"/>
      <c r="H245" s="135"/>
      <c r="I245" s="135"/>
      <c r="J245" s="14">
        <f>IF(ISNA(INDEX($A$37:$U$202,MATCH($B245,$B$37:$B$202,0),10)),"",INDEX($A$37:$U$202,MATCH($B245,$B$37:$B$202,0),10))</f>
        <v>4</v>
      </c>
      <c r="K245" s="14">
        <f>IF(ISNA(INDEX($A$37:$U$202,MATCH($B245,$B$37:$B$202,0),11)),"",INDEX($A$37:$U$202,MATCH($B245,$B$37:$B$202,0),11))</f>
        <v>1</v>
      </c>
      <c r="L245" s="14">
        <f>IF(ISNA(INDEX($A$37:$U$202,MATCH($B245,$B$37:$B$202,0),12)),"",INDEX($A$37:$U$202,MATCH($B245,$B$37:$B$202,0),12))</f>
        <v>0</v>
      </c>
      <c r="M245" s="14">
        <f>IF(ISNA(INDEX($A$37:$U$202,MATCH($B245,$B$37:$B$202,0),13)),"",INDEX($A$37:$U$202,MATCH($B245,$B$37:$B$202,0),13))</f>
        <v>2</v>
      </c>
      <c r="N245" s="51">
        <f>IF(ISNA(INDEX($A$37:$U$202,MATCH($B245,$B$37:$B$202,0),14)),"",INDEX($A$37:$U$202,MATCH($B245,$B$37:$B$202,0),14))</f>
        <v>0</v>
      </c>
      <c r="O245" s="51">
        <f>IF(ISNA(INDEX($A$37:$U$181,MATCH($B245,$B$37:$B$181,0),15)),"",INDEX($A$37:$U$181,MATCH($B245,$B$37:$B$181,0),15))</f>
        <v>3</v>
      </c>
      <c r="P245" s="51">
        <f>IF(ISNA(INDEX($A$37:$U$181,MATCH($B245,$B$37:$B$181,0),16)),"",INDEX($A$37:$U$181,MATCH($B245,$B$37:$B$181,0),16))</f>
        <v>4</v>
      </c>
      <c r="Q245" s="51">
        <f>IF(ISNA(INDEX($A$37:$U$181,MATCH($B245,$B$37:$B$181,0),17)),"",INDEX($A$37:$U$181,MATCH($B245,$B$37:$B$181,0),17))</f>
        <v>7</v>
      </c>
      <c r="R245" s="22">
        <f>IF(ISNA(INDEX($A$37:$U$181,MATCH($B245,$B$37:$B$181,0),18)),"",INDEX($A$37:$U$181,MATCH($B245,$B$37:$B$181,0),18))</f>
        <v>0</v>
      </c>
      <c r="S245" s="22">
        <f>IF(ISNA(INDEX($A$37:$U$181,MATCH($B245,$B$37:$B$181,0),19)),"",INDEX($A$37:$U$181,MATCH($B245,$B$37:$B$181,0),19))</f>
        <v>0</v>
      </c>
      <c r="T245" s="22" t="str">
        <f>IF(ISNA(INDEX($A$37:$U$181,MATCH($B245,$B$37:$B$181,0),20)),"",INDEX($A$37:$U$181,MATCH($B245,$B$37:$B$181,0),20))</f>
        <v>VP</v>
      </c>
      <c r="U245" s="22" t="str">
        <f>IF(ISNA(INDEX($A$37:$U$181,MATCH($B245,$B$37:$B$181,0),21)),"",INDEX($A$37:$U$181,MATCH($B245,$B$37:$B$181,0),21))</f>
        <v>DS</v>
      </c>
      <c r="V245" s="83"/>
      <c r="W245" s="83"/>
      <c r="X245" s="68"/>
      <c r="Y245" s="68"/>
      <c r="Z245" s="68"/>
      <c r="AA245" s="68"/>
    </row>
    <row r="246" spans="1:27" s="58" customFormat="1" x14ac:dyDescent="0.2">
      <c r="A246" s="24" t="str">
        <f>IF(ISNA(INDEX($A$37:$U$202,MATCH($B246,$B$37:$B$202,0),1)),"",INDEX($A$37:$U$202,MATCH($B246,$B$37:$B$202,0),1))</f>
        <v>VLR4437</v>
      </c>
      <c r="B246" s="135" t="s">
        <v>236</v>
      </c>
      <c r="C246" s="135"/>
      <c r="D246" s="135"/>
      <c r="E246" s="135"/>
      <c r="F246" s="135"/>
      <c r="G246" s="135"/>
      <c r="H246" s="135"/>
      <c r="I246" s="135"/>
      <c r="J246" s="14">
        <f>IF(ISNA(INDEX($A$37:$U$202,MATCH($B246,$B$37:$B$202,0),10)),"",INDEX($A$37:$U$202,MATCH($B246,$B$37:$B$202,0),10))</f>
        <v>3</v>
      </c>
      <c r="K246" s="14">
        <f>IF(ISNA(INDEX($A$37:$U$202,MATCH($B246,$B$37:$B$202,0),11)),"",INDEX($A$37:$U$202,MATCH($B246,$B$37:$B$202,0),11))</f>
        <v>0</v>
      </c>
      <c r="L246" s="14">
        <f>IF(ISNA(INDEX($A$37:$U$202,MATCH($B246,$B$37:$B$202,0),12)),"",INDEX($A$37:$U$202,MATCH($B246,$B$37:$B$202,0),12))</f>
        <v>0</v>
      </c>
      <c r="M246" s="14">
        <f>IF(ISNA(INDEX($A$37:$U$202,MATCH($B246,$B$37:$B$202,0),13)),"",INDEX($A$37:$U$202,MATCH($B246,$B$37:$B$202,0),13))</f>
        <v>0</v>
      </c>
      <c r="N246" s="51">
        <f>IF(ISNA(INDEX($A$37:$U$202,MATCH($B246,$B$37:$B$202,0),14)),"",INDEX($A$37:$U$202,MATCH($B246,$B$37:$B$202,0),14))</f>
        <v>0</v>
      </c>
      <c r="O246" s="51">
        <f>IF(ISNA(INDEX($A$37:$U$181,MATCH($B246,$B$37:$B$181,0),15)),"",INDEX($A$37:$U$181,MATCH($B246,$B$37:$B$181,0),15))</f>
        <v>0</v>
      </c>
      <c r="P246" s="51">
        <f>IF(ISNA(INDEX($A$37:$U$181,MATCH($B246,$B$37:$B$181,0),16)),"",INDEX($A$37:$U$181,MATCH($B246,$B$37:$B$181,0),16))</f>
        <v>5</v>
      </c>
      <c r="Q246" s="51">
        <f>IF(ISNA(INDEX($A$37:$U$181,MATCH($B246,$B$37:$B$181,0),17)),"",INDEX($A$37:$U$181,MATCH($B246,$B$37:$B$181,0),17))</f>
        <v>5</v>
      </c>
      <c r="R246" s="22">
        <f>IF(ISNA(INDEX($A$37:$U$181,MATCH($B246,$B$37:$B$181,0),18)),"",INDEX($A$37:$U$181,MATCH($B246,$B$37:$B$181,0),18))</f>
        <v>0</v>
      </c>
      <c r="S246" s="22" t="str">
        <f>IF(ISNA(INDEX($A$37:$U$181,MATCH($B246,$B$37:$B$181,0),19)),"",INDEX($A$37:$U$181,MATCH($B246,$B$37:$B$181,0),19))</f>
        <v>C</v>
      </c>
      <c r="T246" s="22">
        <f>IF(ISNA(INDEX($A$37:$U$181,MATCH($B246,$B$37:$B$181,0),20)),"",INDEX($A$37:$U$181,MATCH($B246,$B$37:$B$181,0),20))</f>
        <v>0</v>
      </c>
      <c r="U246" s="22" t="str">
        <f>IF(ISNA(INDEX($A$37:$U$181,MATCH($B246,$B$37:$B$181,0),21)),"",INDEX($A$37:$U$181,MATCH($B246,$B$37:$B$181,0),21))</f>
        <v>DS</v>
      </c>
      <c r="V246" s="83"/>
      <c r="W246" s="83"/>
      <c r="X246" s="68"/>
      <c r="Y246" s="68"/>
      <c r="Z246" s="68"/>
      <c r="AA246" s="68"/>
    </row>
    <row r="247" spans="1:27" s="58" customFormat="1" x14ac:dyDescent="0.2">
      <c r="A247" s="24" t="str">
        <f>IF(ISNA(INDEX($A$37:$U$202,MATCH($B247,$B$37:$B$202,0),1)),"",INDEX($A$37:$U$202,MATCH($B247,$B$37:$B$202,0),1))</f>
        <v>VLR5467</v>
      </c>
      <c r="B247" s="135" t="s">
        <v>189</v>
      </c>
      <c r="C247" s="135"/>
      <c r="D247" s="135"/>
      <c r="E247" s="135"/>
      <c r="F247" s="135"/>
      <c r="G247" s="135"/>
      <c r="H247" s="135"/>
      <c r="I247" s="135"/>
      <c r="J247" s="14">
        <f>IF(ISNA(INDEX($A$37:$U$202,MATCH($B247,$B$37:$B$202,0),10)),"",INDEX($A$37:$U$202,MATCH($B247,$B$37:$B$202,0),10))</f>
        <v>5</v>
      </c>
      <c r="K247" s="14">
        <f>IF(ISNA(INDEX($A$37:$U$202,MATCH($B247,$B$37:$B$202,0),11)),"",INDEX($A$37:$U$202,MATCH($B247,$B$37:$B$202,0),11))</f>
        <v>2</v>
      </c>
      <c r="L247" s="14">
        <f>IF(ISNA(INDEX($A$37:$U$202,MATCH($B247,$B$37:$B$202,0),12)),"",INDEX($A$37:$U$202,MATCH($B247,$B$37:$B$202,0),12))</f>
        <v>0</v>
      </c>
      <c r="M247" s="14">
        <f>IF(ISNA(INDEX($A$37:$U$202,MATCH($B247,$B$37:$B$202,0),13)),"",INDEX($A$37:$U$202,MATCH($B247,$B$37:$B$202,0),13))</f>
        <v>2</v>
      </c>
      <c r="N247" s="51">
        <f>IF(ISNA(INDEX($A$37:$U$202,MATCH($B247,$B$37:$B$202,0),14)),"",INDEX($A$37:$U$202,MATCH($B247,$B$37:$B$202,0),14))</f>
        <v>0</v>
      </c>
      <c r="O247" s="51">
        <f>IF(ISNA(INDEX($A$37:$U$181,MATCH($B247,$B$37:$B$181,0),15)),"",INDEX($A$37:$U$181,MATCH($B247,$B$37:$B$181,0),15))</f>
        <v>4</v>
      </c>
      <c r="P247" s="51">
        <f>IF(ISNA(INDEX($A$37:$U$181,MATCH($B247,$B$37:$B$181,0),16)),"",INDEX($A$37:$U$181,MATCH($B247,$B$37:$B$181,0),16))</f>
        <v>5</v>
      </c>
      <c r="Q247" s="51">
        <f>IF(ISNA(INDEX($A$37:$U$181,MATCH($B247,$B$37:$B$181,0),17)),"",INDEX($A$37:$U$181,MATCH($B247,$B$37:$B$181,0),17))</f>
        <v>9</v>
      </c>
      <c r="R247" s="22" t="str">
        <f>IF(ISNA(INDEX($A$37:$U$181,MATCH($B247,$B$37:$B$181,0),18)),"",INDEX($A$37:$U$181,MATCH($B247,$B$37:$B$181,0),18))</f>
        <v>E</v>
      </c>
      <c r="S247" s="22">
        <f>IF(ISNA(INDEX($A$37:$U$181,MATCH($B247,$B$37:$B$181,0),19)),"",INDEX($A$37:$U$181,MATCH($B247,$B$37:$B$181,0),19))</f>
        <v>0</v>
      </c>
      <c r="T247" s="22">
        <f>IF(ISNA(INDEX($A$37:$U$181,MATCH($B247,$B$37:$B$181,0),20)),"",INDEX($A$37:$U$181,MATCH($B247,$B$37:$B$181,0),20))</f>
        <v>0</v>
      </c>
      <c r="U247" s="22" t="str">
        <f>IF(ISNA(INDEX($A$37:$U$181,MATCH($B247,$B$37:$B$181,0),21)),"",INDEX($A$37:$U$181,MATCH($B247,$B$37:$B$181,0),21))</f>
        <v>DS</v>
      </c>
      <c r="V247" s="83"/>
      <c r="W247" s="83"/>
      <c r="X247" s="68"/>
      <c r="Y247" s="68"/>
      <c r="Z247" s="68"/>
      <c r="AA247" s="68"/>
    </row>
    <row r="248" spans="1:27" s="58" customFormat="1" x14ac:dyDescent="0.2">
      <c r="A248" s="24" t="str">
        <f>IF(ISNA(INDEX($A$37:$U$202,MATCH($B248,$B$37:$B$202,0),1)),"",INDEX($A$37:$U$202,MATCH($B248,$B$37:$B$202,0),1))</f>
        <v>VLR5466</v>
      </c>
      <c r="B248" s="135" t="s">
        <v>191</v>
      </c>
      <c r="C248" s="135"/>
      <c r="D248" s="135"/>
      <c r="E248" s="135"/>
      <c r="F248" s="135"/>
      <c r="G248" s="135"/>
      <c r="H248" s="135"/>
      <c r="I248" s="135"/>
      <c r="J248" s="14">
        <f>IF(ISNA(INDEX($A$37:$U$202,MATCH($B248,$B$37:$B$202,0),10)),"",INDEX($A$37:$U$202,MATCH($B248,$B$37:$B$202,0),10))</f>
        <v>5</v>
      </c>
      <c r="K248" s="14">
        <f>IF(ISNA(INDEX($A$37:$U$202,MATCH($B248,$B$37:$B$202,0),11)),"",INDEX($A$37:$U$202,MATCH($B248,$B$37:$B$202,0),11))</f>
        <v>1</v>
      </c>
      <c r="L248" s="14">
        <f>IF(ISNA(INDEX($A$37:$U$202,MATCH($B248,$B$37:$B$202,0),12)),"",INDEX($A$37:$U$202,MATCH($B248,$B$37:$B$202,0),12))</f>
        <v>0</v>
      </c>
      <c r="M248" s="14">
        <f>IF(ISNA(INDEX($A$37:$U$202,MATCH($B248,$B$37:$B$202,0),13)),"",INDEX($A$37:$U$202,MATCH($B248,$B$37:$B$202,0),13))</f>
        <v>2</v>
      </c>
      <c r="N248" s="51">
        <f>IF(ISNA(INDEX($A$37:$U$202,MATCH($B248,$B$37:$B$202,0),14)),"",INDEX($A$37:$U$202,MATCH($B248,$B$37:$B$202,0),14))</f>
        <v>0</v>
      </c>
      <c r="O248" s="51">
        <f>IF(ISNA(INDEX($A$37:$U$181,MATCH($B248,$B$37:$B$181,0),15)),"",INDEX($A$37:$U$181,MATCH($B248,$B$37:$B$181,0),15))</f>
        <v>3</v>
      </c>
      <c r="P248" s="51">
        <f>IF(ISNA(INDEX($A$37:$U$181,MATCH($B248,$B$37:$B$181,0),16)),"",INDEX($A$37:$U$181,MATCH($B248,$B$37:$B$181,0),16))</f>
        <v>6</v>
      </c>
      <c r="Q248" s="51">
        <f>IF(ISNA(INDEX($A$37:$U$181,MATCH($B248,$B$37:$B$181,0),17)),"",INDEX($A$37:$U$181,MATCH($B248,$B$37:$B$181,0),17))</f>
        <v>9</v>
      </c>
      <c r="R248" s="22" t="str">
        <f>IF(ISNA(INDEX($A$37:$U$181,MATCH($B248,$B$37:$B$181,0),18)),"",INDEX($A$37:$U$181,MATCH($B248,$B$37:$B$181,0),18))</f>
        <v>E</v>
      </c>
      <c r="S248" s="22">
        <f>IF(ISNA(INDEX($A$37:$U$181,MATCH($B248,$B$37:$B$181,0),19)),"",INDEX($A$37:$U$181,MATCH($B248,$B$37:$B$181,0),19))</f>
        <v>0</v>
      </c>
      <c r="T248" s="22">
        <f>IF(ISNA(INDEX($A$37:$U$181,MATCH($B248,$B$37:$B$181,0),20)),"",INDEX($A$37:$U$181,MATCH($B248,$B$37:$B$181,0),20))</f>
        <v>0</v>
      </c>
      <c r="U248" s="22" t="str">
        <f>IF(ISNA(INDEX($A$37:$U$181,MATCH($B248,$B$37:$B$181,0),21)),"",INDEX($A$37:$U$181,MATCH($B248,$B$37:$B$181,0),21))</f>
        <v>DS</v>
      </c>
      <c r="V248" s="83"/>
      <c r="W248" s="83"/>
      <c r="X248" s="68"/>
      <c r="Y248" s="68"/>
      <c r="Z248" s="68"/>
      <c r="AA248" s="68"/>
    </row>
    <row r="249" spans="1:27" s="58" customFormat="1" x14ac:dyDescent="0.2">
      <c r="A249" s="24" t="str">
        <f>IF(ISNA(INDEX($A$37:$U$202,MATCH($B249,$B$37:$B$202,0),1)),"",INDEX($A$37:$U$202,MATCH($B249,$B$37:$B$202,0),1))</f>
        <v>VLR5439</v>
      </c>
      <c r="B249" s="135" t="s">
        <v>193</v>
      </c>
      <c r="C249" s="135"/>
      <c r="D249" s="135"/>
      <c r="E249" s="135"/>
      <c r="F249" s="135"/>
      <c r="G249" s="135"/>
      <c r="H249" s="135"/>
      <c r="I249" s="135"/>
      <c r="J249" s="14">
        <f>IF(ISNA(INDEX($A$37:$U$202,MATCH($B249,$B$37:$B$202,0),10)),"",INDEX($A$37:$U$202,MATCH($B249,$B$37:$B$202,0),10))</f>
        <v>5</v>
      </c>
      <c r="K249" s="14">
        <f>IF(ISNA(INDEX($A$37:$U$202,MATCH($B249,$B$37:$B$202,0),11)),"",INDEX($A$37:$U$202,MATCH($B249,$B$37:$B$202,0),11))</f>
        <v>1</v>
      </c>
      <c r="L249" s="14">
        <f>IF(ISNA(INDEX($A$37:$U$202,MATCH($B249,$B$37:$B$202,0),12)),"",INDEX($A$37:$U$202,MATCH($B249,$B$37:$B$202,0),12))</f>
        <v>0</v>
      </c>
      <c r="M249" s="14">
        <f>IF(ISNA(INDEX($A$37:$U$202,MATCH($B249,$B$37:$B$202,0),13)),"",INDEX($A$37:$U$202,MATCH($B249,$B$37:$B$202,0),13))</f>
        <v>2</v>
      </c>
      <c r="N249" s="51">
        <f>IF(ISNA(INDEX($A$37:$U$202,MATCH($B249,$B$37:$B$202,0),14)),"",INDEX($A$37:$U$202,MATCH($B249,$B$37:$B$202,0),14))</f>
        <v>0</v>
      </c>
      <c r="O249" s="51">
        <f>IF(ISNA(INDEX($A$37:$U$181,MATCH($B249,$B$37:$B$181,0),15)),"",INDEX($A$37:$U$181,MATCH($B249,$B$37:$B$181,0),15))</f>
        <v>3</v>
      </c>
      <c r="P249" s="51">
        <f>IF(ISNA(INDEX($A$37:$U$181,MATCH($B249,$B$37:$B$181,0),16)),"",INDEX($A$37:$U$181,MATCH($B249,$B$37:$B$181,0),16))</f>
        <v>6</v>
      </c>
      <c r="Q249" s="51">
        <f>IF(ISNA(INDEX($A$37:$U$181,MATCH($B249,$B$37:$B$181,0),17)),"",INDEX($A$37:$U$181,MATCH($B249,$B$37:$B$181,0),17))</f>
        <v>9</v>
      </c>
      <c r="R249" s="22" t="str">
        <f>IF(ISNA(INDEX($A$37:$U$181,MATCH($B249,$B$37:$B$181,0),18)),"",INDEX($A$37:$U$181,MATCH($B249,$B$37:$B$181,0),18))</f>
        <v>E</v>
      </c>
      <c r="S249" s="22">
        <f>IF(ISNA(INDEX($A$37:$U$181,MATCH($B249,$B$37:$B$181,0),19)),"",INDEX($A$37:$U$181,MATCH($B249,$B$37:$B$181,0),19))</f>
        <v>0</v>
      </c>
      <c r="T249" s="22">
        <f>IF(ISNA(INDEX($A$37:$U$181,MATCH($B249,$B$37:$B$181,0),20)),"",INDEX($A$37:$U$181,MATCH($B249,$B$37:$B$181,0),20))</f>
        <v>0</v>
      </c>
      <c r="U249" s="22" t="str">
        <f>IF(ISNA(INDEX($A$37:$U$181,MATCH($B249,$B$37:$B$181,0),21)),"",INDEX($A$37:$U$181,MATCH($B249,$B$37:$B$181,0),21))</f>
        <v>DS</v>
      </c>
      <c r="V249" s="83"/>
      <c r="W249" s="83"/>
      <c r="X249" s="68"/>
      <c r="Y249" s="68"/>
      <c r="Z249" s="68"/>
      <c r="AA249" s="68"/>
    </row>
    <row r="250" spans="1:27" s="58" customFormat="1" x14ac:dyDescent="0.2">
      <c r="A250" s="24" t="str">
        <f>IF(ISNA(INDEX($A$37:$U$202,MATCH($B250,$B$37:$B$202,0),1)),"",INDEX($A$37:$U$202,MATCH($B250,$B$37:$B$202,0),1))</f>
        <v>VLX5430</v>
      </c>
      <c r="B250" s="135" t="s">
        <v>195</v>
      </c>
      <c r="C250" s="135"/>
      <c r="D250" s="135"/>
      <c r="E250" s="135"/>
      <c r="F250" s="135"/>
      <c r="G250" s="135"/>
      <c r="H250" s="135"/>
      <c r="I250" s="135"/>
      <c r="J250" s="14">
        <f>IF(ISNA(INDEX($A$37:$U$202,MATCH($B250,$B$37:$B$202,0),10)),"",INDEX($A$37:$U$202,MATCH($B250,$B$37:$B$202,0),10))</f>
        <v>5</v>
      </c>
      <c r="K250" s="14">
        <f>IF(ISNA(INDEX($A$37:$U$202,MATCH($B250,$B$37:$B$202,0),11)),"",INDEX($A$37:$U$202,MATCH($B250,$B$37:$B$202,0),11))</f>
        <v>2</v>
      </c>
      <c r="L250" s="14">
        <f>IF(ISNA(INDEX($A$37:$U$202,MATCH($B250,$B$37:$B$202,0),12)),"",INDEX($A$37:$U$202,MATCH($B250,$B$37:$B$202,0),12))</f>
        <v>2</v>
      </c>
      <c r="M250" s="14">
        <f>IF(ISNA(INDEX($A$37:$U$202,MATCH($B250,$B$37:$B$202,0),13)),"",INDEX($A$37:$U$202,MATCH($B250,$B$37:$B$202,0),13))</f>
        <v>0</v>
      </c>
      <c r="N250" s="51">
        <f>IF(ISNA(INDEX($A$37:$U$202,MATCH($B250,$B$37:$B$202,0),14)),"",INDEX($A$37:$U$202,MATCH($B250,$B$37:$B$202,0),14))</f>
        <v>0</v>
      </c>
      <c r="O250" s="51">
        <f>IF(ISNA(INDEX($A$37:$U$181,MATCH($B250,$B$37:$B$181,0),15)),"",INDEX($A$37:$U$181,MATCH($B250,$B$37:$B$181,0),15))</f>
        <v>4</v>
      </c>
      <c r="P250" s="51">
        <f>IF(ISNA(INDEX($A$37:$U$181,MATCH($B250,$B$37:$B$181,0),16)),"",INDEX($A$37:$U$181,MATCH($B250,$B$37:$B$181,0),16))</f>
        <v>5</v>
      </c>
      <c r="Q250" s="51">
        <f>IF(ISNA(INDEX($A$37:$U$181,MATCH($B250,$B$37:$B$181,0),17)),"",INDEX($A$37:$U$181,MATCH($B250,$B$37:$B$181,0),17))</f>
        <v>9</v>
      </c>
      <c r="R250" s="22" t="str">
        <f>IF(ISNA(INDEX($A$37:$U$181,MATCH($B250,$B$37:$B$181,0),18)),"",INDEX($A$37:$U$181,MATCH($B250,$B$37:$B$181,0),18))</f>
        <v>E</v>
      </c>
      <c r="S250" s="22">
        <f>IF(ISNA(INDEX($A$37:$U$181,MATCH($B250,$B$37:$B$181,0),19)),"",INDEX($A$37:$U$181,MATCH($B250,$B$37:$B$181,0),19))</f>
        <v>0</v>
      </c>
      <c r="T250" s="22">
        <f>IF(ISNA(INDEX($A$37:$U$181,MATCH($B250,$B$37:$B$181,0),20)),"",INDEX($A$37:$U$181,MATCH($B250,$B$37:$B$181,0),20))</f>
        <v>0</v>
      </c>
      <c r="U250" s="22" t="str">
        <f>IF(ISNA(INDEX($A$37:$U$181,MATCH($B250,$B$37:$B$181,0),21)),"",INDEX($A$37:$U$181,MATCH($B250,$B$37:$B$181,0),21))</f>
        <v>DS</v>
      </c>
      <c r="V250" s="83"/>
      <c r="W250" s="83"/>
      <c r="X250" s="68"/>
      <c r="Y250" s="68"/>
      <c r="Z250" s="68"/>
      <c r="AA250" s="68"/>
    </row>
    <row r="251" spans="1:27" ht="16.5" customHeight="1" x14ac:dyDescent="0.2">
      <c r="A251" s="62" t="s">
        <v>28</v>
      </c>
      <c r="B251" s="130"/>
      <c r="C251" s="130"/>
      <c r="D251" s="130"/>
      <c r="E251" s="130"/>
      <c r="F251" s="130"/>
      <c r="G251" s="130"/>
      <c r="H251" s="130"/>
      <c r="I251" s="130"/>
      <c r="J251" s="17">
        <f t="shared" ref="J251:Q251" si="54">SUM(J235:J250)</f>
        <v>72</v>
      </c>
      <c r="K251" s="17">
        <f t="shared" si="54"/>
        <v>21</v>
      </c>
      <c r="L251" s="17">
        <f t="shared" si="54"/>
        <v>2</v>
      </c>
      <c r="M251" s="17">
        <f t="shared" si="54"/>
        <v>25</v>
      </c>
      <c r="N251" s="53">
        <f t="shared" si="54"/>
        <v>0</v>
      </c>
      <c r="O251" s="53">
        <f t="shared" si="54"/>
        <v>48</v>
      </c>
      <c r="P251" s="53">
        <f t="shared" si="54"/>
        <v>80</v>
      </c>
      <c r="Q251" s="53">
        <f t="shared" si="54"/>
        <v>128</v>
      </c>
      <c r="R251" s="62">
        <f>COUNTIF(R235:R250,"E")</f>
        <v>11</v>
      </c>
      <c r="S251" s="62">
        <f>COUNTIF(S235:S250,"C")</f>
        <v>2</v>
      </c>
      <c r="T251" s="62">
        <f>COUNTIF(T235:T250,"VP")</f>
        <v>3</v>
      </c>
      <c r="U251" s="63">
        <f>COUNTA(U235:U250)</f>
        <v>16</v>
      </c>
      <c r="V251" s="84"/>
      <c r="W251" s="84"/>
      <c r="X251" s="80"/>
      <c r="Y251" s="80"/>
      <c r="Z251" s="80"/>
      <c r="AA251" s="80"/>
    </row>
    <row r="252" spans="1:27" ht="12.75" customHeight="1" x14ac:dyDescent="0.2">
      <c r="A252" s="131" t="s">
        <v>76</v>
      </c>
      <c r="B252" s="131"/>
      <c r="C252" s="131"/>
      <c r="D252" s="131"/>
      <c r="E252" s="131"/>
      <c r="F252" s="131"/>
      <c r="G252" s="131"/>
      <c r="H252" s="131"/>
      <c r="I252" s="131"/>
      <c r="J252" s="131"/>
      <c r="K252" s="131"/>
      <c r="L252" s="131"/>
      <c r="M252" s="131"/>
      <c r="N252" s="131"/>
      <c r="O252" s="131"/>
      <c r="P252" s="131"/>
      <c r="Q252" s="131"/>
      <c r="R252" s="131"/>
      <c r="S252" s="131"/>
      <c r="T252" s="131"/>
      <c r="U252" s="131"/>
      <c r="V252" s="85"/>
      <c r="W252" s="85"/>
      <c r="X252" s="82"/>
      <c r="Y252" s="82"/>
      <c r="Z252" s="82"/>
      <c r="AA252" s="82"/>
    </row>
    <row r="253" spans="1:27" x14ac:dyDescent="0.2">
      <c r="A253" s="24" t="str">
        <f>IF(ISNA(INDEX($A$37:$U$202,MATCH($B253,$B$37:$B$202,0),1)),"",INDEX($A$37:$U$202,MATCH($B253,$B$37:$B$202,0),1))</f>
        <v>VLR6466</v>
      </c>
      <c r="B253" s="135" t="s">
        <v>203</v>
      </c>
      <c r="C253" s="135"/>
      <c r="D253" s="135"/>
      <c r="E253" s="135"/>
      <c r="F253" s="135"/>
      <c r="G253" s="135"/>
      <c r="H253" s="135"/>
      <c r="I253" s="135"/>
      <c r="J253" s="14">
        <f>IF(ISNA(INDEX($A$37:$U$202,MATCH($B253,$B$37:$B$202,0),10)),"",INDEX($A$37:$U$202,MATCH($B253,$B$37:$B$202,0),10))</f>
        <v>5</v>
      </c>
      <c r="K253" s="14">
        <f>IF(ISNA(INDEX($A$37:$U$202,MATCH($B253,$B$37:$B$202,0),11)),"",INDEX($A$37:$U$202,MATCH($B253,$B$37:$B$202,0),11))</f>
        <v>2</v>
      </c>
      <c r="L253" s="14">
        <f>IF(ISNA(INDEX($A$37:$U$202,MATCH($B253,$B$37:$B$202,0),12)),"",INDEX($A$37:$U$202,MATCH($B253,$B$37:$B$202,0),12))</f>
        <v>0</v>
      </c>
      <c r="M253" s="14">
        <f>IF(ISNA(INDEX($A$37:$U$202,MATCH($B253,$B$37:$B$202,0),13)),"",INDEX($A$37:$U$202,MATCH($B253,$B$37:$B$202,0),13))</f>
        <v>2</v>
      </c>
      <c r="N253" s="51">
        <f>IF(ISNA(INDEX($A$37:$U$202,MATCH($B253,$B$37:$B$202,0),14)),"",INDEX($A$37:$U$202,MATCH($B253,$B$37:$B$202,0),14))</f>
        <v>0</v>
      </c>
      <c r="O253" s="51">
        <f>IF(ISNA(INDEX($A$37:$U$181,MATCH($B253,$B$37:$B$181,0),15)),"",INDEX($A$37:$U$181,MATCH($B253,$B$37:$B$181,0),15))</f>
        <v>4</v>
      </c>
      <c r="P253" s="51">
        <f>IF(ISNA(INDEX($A$37:$U$181,MATCH($B253,$B$37:$B$181,0),16)),"",INDEX($A$37:$U$181,MATCH($B253,$B$37:$B$181,0),16))</f>
        <v>6</v>
      </c>
      <c r="Q253" s="51">
        <f>IF(ISNA(INDEX($A$37:$U$181,MATCH($B253,$B$37:$B$181,0),17)),"",INDEX($A$37:$U$181,MATCH($B253,$B$37:$B$181,0),17))</f>
        <v>10</v>
      </c>
      <c r="R253" s="22" t="str">
        <f>IF(ISNA(INDEX($A$37:$U$181,MATCH($B253,$B$37:$B$181,0),18)),"",INDEX($A$37:$U$181,MATCH($B253,$B$37:$B$181,0),18))</f>
        <v>E</v>
      </c>
      <c r="S253" s="22">
        <f>IF(ISNA(INDEX($A$37:$U$181,MATCH($B253,$B$37:$B$181,0),19)),"",INDEX($A$37:$U$181,MATCH($B253,$B$37:$B$181,0),19))</f>
        <v>0</v>
      </c>
      <c r="T253" s="22">
        <f>IF(ISNA(INDEX($A$37:$U$181,MATCH($B253,$B$37:$B$181,0),20)),"",INDEX($A$37:$U$181,MATCH($B253,$B$37:$B$181,0),20))</f>
        <v>0</v>
      </c>
      <c r="U253" s="22" t="str">
        <f>IF(ISNA(INDEX($A$37:$U$181,MATCH($B253,$B$37:$B$181,0),21)),"",INDEX($A$37:$U$181,MATCH($B253,$B$37:$B$181,0),21))</f>
        <v>DS</v>
      </c>
      <c r="V253" s="85"/>
      <c r="W253" s="85"/>
      <c r="X253" s="82"/>
      <c r="Y253" s="82"/>
      <c r="Z253" s="82"/>
      <c r="AA253" s="82"/>
    </row>
    <row r="254" spans="1:27" s="58" customFormat="1" x14ac:dyDescent="0.2">
      <c r="A254" s="24" t="str">
        <f>IF(ISNA(INDEX($A$37:$U$202,MATCH($B254,$B$37:$B$202,0),1)),"",INDEX($A$37:$U$202,MATCH($B254,$B$37:$B$202,0),1))</f>
        <v>VLR6439</v>
      </c>
      <c r="B254" s="135" t="s">
        <v>205</v>
      </c>
      <c r="C254" s="135"/>
      <c r="D254" s="135"/>
      <c r="E254" s="135"/>
      <c r="F254" s="135"/>
      <c r="G254" s="135"/>
      <c r="H254" s="135"/>
      <c r="I254" s="135"/>
      <c r="J254" s="14">
        <f>IF(ISNA(INDEX($A$37:$U$202,MATCH($B254,$B$37:$B$202,0),10)),"",INDEX($A$37:$U$202,MATCH($B254,$B$37:$B$202,0),10))</f>
        <v>5</v>
      </c>
      <c r="K254" s="14">
        <f>IF(ISNA(INDEX($A$37:$U$202,MATCH($B254,$B$37:$B$202,0),11)),"",INDEX($A$37:$U$202,MATCH($B254,$B$37:$B$202,0),11))</f>
        <v>1</v>
      </c>
      <c r="L254" s="14">
        <f>IF(ISNA(INDEX($A$37:$U$202,MATCH($B254,$B$37:$B$202,0),12)),"",INDEX($A$37:$U$202,MATCH($B254,$B$37:$B$202,0),12))</f>
        <v>0</v>
      </c>
      <c r="M254" s="14">
        <f>IF(ISNA(INDEX($A$37:$U$202,MATCH($B254,$B$37:$B$202,0),13)),"",INDEX($A$37:$U$202,MATCH($B254,$B$37:$B$202,0),13))</f>
        <v>3</v>
      </c>
      <c r="N254" s="51">
        <f>IF(ISNA(INDEX($A$37:$U$202,MATCH($B254,$B$37:$B$202,0),14)),"",INDEX($A$37:$U$202,MATCH($B254,$B$37:$B$202,0),14))</f>
        <v>0.5</v>
      </c>
      <c r="O254" s="51">
        <f>IF(ISNA(INDEX($A$37:$U$181,MATCH($B254,$B$37:$B$181,0),15)),"",INDEX($A$37:$U$181,MATCH($B254,$B$37:$B$181,0),15))</f>
        <v>4.5</v>
      </c>
      <c r="P254" s="51">
        <f>IF(ISNA(INDEX($A$37:$U$181,MATCH($B254,$B$37:$B$181,0),16)),"",INDEX($A$37:$U$181,MATCH($B254,$B$37:$B$181,0),16))</f>
        <v>5.5</v>
      </c>
      <c r="Q254" s="51">
        <f>IF(ISNA(INDEX($A$37:$U$181,MATCH($B254,$B$37:$B$181,0),17)),"",INDEX($A$37:$U$181,MATCH($B254,$B$37:$B$181,0),17))</f>
        <v>10</v>
      </c>
      <c r="R254" s="22" t="str">
        <f>IF(ISNA(INDEX($A$37:$U$181,MATCH($B254,$B$37:$B$181,0),18)),"",INDEX($A$37:$U$181,MATCH($B254,$B$37:$B$181,0),18))</f>
        <v>E</v>
      </c>
      <c r="S254" s="22">
        <f>IF(ISNA(INDEX($A$37:$U$181,MATCH($B254,$B$37:$B$181,0),19)),"",INDEX($A$37:$U$181,MATCH($B254,$B$37:$B$181,0),19))</f>
        <v>0</v>
      </c>
      <c r="T254" s="22">
        <f>IF(ISNA(INDEX($A$37:$U$181,MATCH($B254,$B$37:$B$181,0),20)),"",INDEX($A$37:$U$181,MATCH($B254,$B$37:$B$181,0),20))</f>
        <v>0</v>
      </c>
      <c r="U254" s="22" t="str">
        <f>IF(ISNA(INDEX($A$37:$U$181,MATCH($B254,$B$37:$B$181,0),21)),"",INDEX($A$37:$U$181,MATCH($B254,$B$37:$B$181,0),21))</f>
        <v>DS</v>
      </c>
      <c r="V254" s="85"/>
      <c r="W254" s="85"/>
      <c r="X254" s="82"/>
      <c r="Y254" s="82"/>
      <c r="Z254" s="82"/>
      <c r="AA254" s="82"/>
    </row>
    <row r="255" spans="1:27" s="58" customFormat="1" x14ac:dyDescent="0.2">
      <c r="A255" s="24" t="str">
        <f>IF(ISNA(INDEX($A$37:$U$202,MATCH($B255,$B$37:$B$202,0),1)),"",INDEX($A$37:$U$202,MATCH($B255,$B$37:$B$202,0),1))</f>
        <v>VLR6438</v>
      </c>
      <c r="B255" s="135" t="s">
        <v>237</v>
      </c>
      <c r="C255" s="135"/>
      <c r="D255" s="135"/>
      <c r="E255" s="135"/>
      <c r="F255" s="135"/>
      <c r="G255" s="135"/>
      <c r="H255" s="135"/>
      <c r="I255" s="135"/>
      <c r="J255" s="14">
        <f>IF(ISNA(INDEX($A$37:$U$202,MATCH($B255,$B$37:$B$202,0),10)),"",INDEX($A$37:$U$202,MATCH($B255,$B$37:$B$202,0),10))</f>
        <v>3</v>
      </c>
      <c r="K255" s="14">
        <f>IF(ISNA(INDEX($A$37:$U$202,MATCH($B255,$B$37:$B$202,0),11)),"",INDEX($A$37:$U$202,MATCH($B255,$B$37:$B$202,0),11))</f>
        <v>0</v>
      </c>
      <c r="L255" s="14">
        <f>IF(ISNA(INDEX($A$37:$U$202,MATCH($B255,$B$37:$B$202,0),12)),"",INDEX($A$37:$U$202,MATCH($B255,$B$37:$B$202,0),12))</f>
        <v>0</v>
      </c>
      <c r="M255" s="14">
        <f>IF(ISNA(INDEX($A$37:$U$202,MATCH($B255,$B$37:$B$202,0),13)),"",INDEX($A$37:$U$202,MATCH($B255,$B$37:$B$202,0),13))</f>
        <v>0</v>
      </c>
      <c r="N255" s="51">
        <f>IF(ISNA(INDEX($A$37:$U$202,MATCH($B255,$B$37:$B$202,0),14)),"",INDEX($A$37:$U$202,MATCH($B255,$B$37:$B$202,0),14))</f>
        <v>0</v>
      </c>
      <c r="O255" s="51">
        <f>IF(ISNA(INDEX($A$37:$U$181,MATCH($B255,$B$37:$B$181,0),15)),"",INDEX($A$37:$U$181,MATCH($B255,$B$37:$B$181,0),15))</f>
        <v>0</v>
      </c>
      <c r="P255" s="51">
        <f>IF(ISNA(INDEX($A$37:$U$181,MATCH($B255,$B$37:$B$181,0),16)),"",INDEX($A$37:$U$181,MATCH($B255,$B$37:$B$181,0),16))</f>
        <v>6</v>
      </c>
      <c r="Q255" s="51">
        <f>IF(ISNA(INDEX($A$37:$U$181,MATCH($B255,$B$37:$B$181,0),17)),"",INDEX($A$37:$U$181,MATCH($B255,$B$37:$B$181,0),17))</f>
        <v>6</v>
      </c>
      <c r="R255" s="22">
        <f>IF(ISNA(INDEX($A$37:$U$181,MATCH($B255,$B$37:$B$181,0),18)),"",INDEX($A$37:$U$181,MATCH($B255,$B$37:$B$181,0),18))</f>
        <v>0</v>
      </c>
      <c r="S255" s="22" t="str">
        <f>IF(ISNA(INDEX($A$37:$U$181,MATCH($B255,$B$37:$B$181,0),19)),"",INDEX($A$37:$U$181,MATCH($B255,$B$37:$B$181,0),19))</f>
        <v>C</v>
      </c>
      <c r="T255" s="22">
        <f>IF(ISNA(INDEX($A$37:$U$181,MATCH($B255,$B$37:$B$181,0),20)),"",INDEX($A$37:$U$181,MATCH($B255,$B$37:$B$181,0),20))</f>
        <v>0</v>
      </c>
      <c r="U255" s="22" t="str">
        <f>IF(ISNA(INDEX($A$37:$U$181,MATCH($B255,$B$37:$B$181,0),21)),"",INDEX($A$37:$U$181,MATCH($B255,$B$37:$B$181,0),21))</f>
        <v>DS</v>
      </c>
      <c r="V255" s="85"/>
      <c r="W255" s="85"/>
      <c r="X255" s="82"/>
      <c r="Y255" s="82"/>
      <c r="Z255" s="82"/>
      <c r="AA255" s="82"/>
    </row>
    <row r="256" spans="1:27" x14ac:dyDescent="0.2">
      <c r="A256" s="62" t="s">
        <v>28</v>
      </c>
      <c r="B256" s="131"/>
      <c r="C256" s="131"/>
      <c r="D256" s="131"/>
      <c r="E256" s="131"/>
      <c r="F256" s="131"/>
      <c r="G256" s="131"/>
      <c r="H256" s="131"/>
      <c r="I256" s="131"/>
      <c r="J256" s="17">
        <f t="shared" ref="J256:Q256" si="55">SUM(J253:J255)</f>
        <v>13</v>
      </c>
      <c r="K256" s="17">
        <f t="shared" si="55"/>
        <v>3</v>
      </c>
      <c r="L256" s="17">
        <f t="shared" si="55"/>
        <v>0</v>
      </c>
      <c r="M256" s="17">
        <f t="shared" si="55"/>
        <v>5</v>
      </c>
      <c r="N256" s="53">
        <f t="shared" si="55"/>
        <v>0.5</v>
      </c>
      <c r="O256" s="53">
        <f t="shared" si="55"/>
        <v>8.5</v>
      </c>
      <c r="P256" s="53">
        <f t="shared" si="55"/>
        <v>17.5</v>
      </c>
      <c r="Q256" s="53">
        <f t="shared" si="55"/>
        <v>26</v>
      </c>
      <c r="R256" s="62">
        <f>COUNTIF(R253:R255,"E")</f>
        <v>2</v>
      </c>
      <c r="S256" s="62">
        <f>COUNTIF(S253:S255,"C")</f>
        <v>1</v>
      </c>
      <c r="T256" s="62">
        <f>COUNTIF(T253:T255,"VP")</f>
        <v>0</v>
      </c>
      <c r="U256" s="63">
        <f>COUNTA(U253:U255)</f>
        <v>3</v>
      </c>
    </row>
    <row r="257" spans="1:27" ht="29.25" customHeight="1" x14ac:dyDescent="0.2">
      <c r="A257" s="225" t="s">
        <v>110</v>
      </c>
      <c r="B257" s="225"/>
      <c r="C257" s="225"/>
      <c r="D257" s="225"/>
      <c r="E257" s="225"/>
      <c r="F257" s="225"/>
      <c r="G257" s="225"/>
      <c r="H257" s="225"/>
      <c r="I257" s="225"/>
      <c r="J257" s="17">
        <f t="shared" ref="J257:U257" si="56">SUM(J251,J256)</f>
        <v>85</v>
      </c>
      <c r="K257" s="17">
        <f t="shared" si="56"/>
        <v>24</v>
      </c>
      <c r="L257" s="17">
        <f t="shared" si="56"/>
        <v>2</v>
      </c>
      <c r="M257" s="17">
        <f t="shared" si="56"/>
        <v>30</v>
      </c>
      <c r="N257" s="53">
        <f t="shared" si="56"/>
        <v>0.5</v>
      </c>
      <c r="O257" s="53">
        <f t="shared" si="56"/>
        <v>56.5</v>
      </c>
      <c r="P257" s="53">
        <f t="shared" si="56"/>
        <v>97.5</v>
      </c>
      <c r="Q257" s="53">
        <f t="shared" si="56"/>
        <v>154</v>
      </c>
      <c r="R257" s="17">
        <f t="shared" si="56"/>
        <v>13</v>
      </c>
      <c r="S257" s="17">
        <f t="shared" si="56"/>
        <v>3</v>
      </c>
      <c r="T257" s="17">
        <f t="shared" si="56"/>
        <v>3</v>
      </c>
      <c r="U257" s="86">
        <f t="shared" si="56"/>
        <v>19</v>
      </c>
    </row>
    <row r="258" spans="1:27" x14ac:dyDescent="0.2">
      <c r="A258" s="226" t="s">
        <v>53</v>
      </c>
      <c r="B258" s="226"/>
      <c r="C258" s="226"/>
      <c r="D258" s="226"/>
      <c r="E258" s="226"/>
      <c r="F258" s="226"/>
      <c r="G258" s="226"/>
      <c r="H258" s="226"/>
      <c r="I258" s="226"/>
      <c r="J258" s="226"/>
      <c r="K258" s="17">
        <f t="shared" ref="K258:Q258" si="57">K251*14+K256*12</f>
        <v>330</v>
      </c>
      <c r="L258" s="17">
        <f t="shared" si="57"/>
        <v>28</v>
      </c>
      <c r="M258" s="17">
        <f t="shared" si="57"/>
        <v>410</v>
      </c>
      <c r="N258" s="53">
        <f t="shared" si="57"/>
        <v>6</v>
      </c>
      <c r="O258" s="53">
        <f t="shared" si="57"/>
        <v>774</v>
      </c>
      <c r="P258" s="53">
        <f t="shared" si="57"/>
        <v>1330</v>
      </c>
      <c r="Q258" s="53">
        <f t="shared" si="57"/>
        <v>2104</v>
      </c>
      <c r="R258" s="151"/>
      <c r="S258" s="151"/>
      <c r="T258" s="151"/>
      <c r="U258" s="151"/>
    </row>
    <row r="259" spans="1:27" x14ac:dyDescent="0.2">
      <c r="A259" s="226"/>
      <c r="B259" s="226"/>
      <c r="C259" s="226"/>
      <c r="D259" s="226"/>
      <c r="E259" s="226"/>
      <c r="F259" s="226"/>
      <c r="G259" s="226"/>
      <c r="H259" s="226"/>
      <c r="I259" s="226"/>
      <c r="J259" s="226"/>
      <c r="K259" s="152">
        <f>SUM(K258:N258)</f>
        <v>774</v>
      </c>
      <c r="L259" s="152"/>
      <c r="M259" s="152"/>
      <c r="N259" s="152"/>
      <c r="O259" s="152">
        <f>SUM(O258:P258)</f>
        <v>2104</v>
      </c>
      <c r="P259" s="152"/>
      <c r="Q259" s="152"/>
      <c r="R259" s="151"/>
      <c r="S259" s="151"/>
      <c r="T259" s="151"/>
      <c r="U259" s="151"/>
    </row>
    <row r="260" spans="1:27" x14ac:dyDescent="0.2">
      <c r="A260" s="117" t="s">
        <v>111</v>
      </c>
      <c r="B260" s="117"/>
      <c r="C260" s="117"/>
      <c r="D260" s="117"/>
      <c r="E260" s="117"/>
      <c r="F260" s="117"/>
      <c r="G260" s="117"/>
      <c r="H260" s="117"/>
      <c r="I260" s="117"/>
      <c r="J260" s="117"/>
      <c r="K260" s="111">
        <f>U257/SUM(U48,U63,U82,U101,U117,U131)</f>
        <v>0.45238095238095238</v>
      </c>
      <c r="L260" s="112"/>
      <c r="M260" s="112"/>
      <c r="N260" s="112"/>
      <c r="O260" s="112"/>
      <c r="P260" s="112"/>
      <c r="Q260" s="112"/>
      <c r="R260" s="112"/>
      <c r="S260" s="112"/>
      <c r="T260" s="112"/>
      <c r="U260" s="113"/>
    </row>
    <row r="261" spans="1:27" s="54" customFormat="1" x14ac:dyDescent="0.2">
      <c r="A261" s="114" t="s">
        <v>112</v>
      </c>
      <c r="B261" s="115"/>
      <c r="C261" s="115"/>
      <c r="D261" s="115"/>
      <c r="E261" s="115"/>
      <c r="F261" s="115"/>
      <c r="G261" s="115"/>
      <c r="H261" s="115"/>
      <c r="I261" s="115"/>
      <c r="J261" s="116"/>
      <c r="K261" s="111">
        <f>K259/(SUM(O48,O63,O82,O101,O117)*14+O131*12)</f>
        <v>0.41590542718968299</v>
      </c>
      <c r="L261" s="112"/>
      <c r="M261" s="112"/>
      <c r="N261" s="112"/>
      <c r="O261" s="112"/>
      <c r="P261" s="112"/>
      <c r="Q261" s="112"/>
      <c r="R261" s="112"/>
      <c r="S261" s="112"/>
      <c r="T261" s="112"/>
      <c r="U261" s="113"/>
    </row>
    <row r="263" spans="1:27" ht="22.5" customHeight="1" x14ac:dyDescent="0.2">
      <c r="A263" s="131" t="s">
        <v>74</v>
      </c>
      <c r="B263" s="146"/>
      <c r="C263" s="146"/>
      <c r="D263" s="146"/>
      <c r="E263" s="146"/>
      <c r="F263" s="146"/>
      <c r="G263" s="146"/>
      <c r="H263" s="146"/>
      <c r="I263" s="146"/>
      <c r="J263" s="146"/>
      <c r="K263" s="146"/>
      <c r="L263" s="146"/>
      <c r="M263" s="146"/>
      <c r="N263" s="146"/>
      <c r="O263" s="146"/>
      <c r="P263" s="146"/>
      <c r="Q263" s="146"/>
      <c r="R263" s="146"/>
      <c r="S263" s="146"/>
      <c r="T263" s="146"/>
      <c r="U263" s="146"/>
    </row>
    <row r="264" spans="1:27" ht="21.75" customHeight="1" x14ac:dyDescent="0.2">
      <c r="A264" s="131" t="s">
        <v>30</v>
      </c>
      <c r="B264" s="131" t="s">
        <v>29</v>
      </c>
      <c r="C264" s="131"/>
      <c r="D264" s="131"/>
      <c r="E264" s="131"/>
      <c r="F264" s="131"/>
      <c r="G264" s="131"/>
      <c r="H264" s="131"/>
      <c r="I264" s="131"/>
      <c r="J264" s="145" t="s">
        <v>43</v>
      </c>
      <c r="K264" s="145" t="s">
        <v>27</v>
      </c>
      <c r="L264" s="145"/>
      <c r="M264" s="145"/>
      <c r="N264" s="145"/>
      <c r="O264" s="145" t="s">
        <v>44</v>
      </c>
      <c r="P264" s="145"/>
      <c r="Q264" s="145"/>
      <c r="R264" s="145" t="s">
        <v>26</v>
      </c>
      <c r="S264" s="145"/>
      <c r="T264" s="145"/>
      <c r="U264" s="145" t="s">
        <v>25</v>
      </c>
      <c r="V264" s="72"/>
      <c r="W264" s="72"/>
    </row>
    <row r="265" spans="1:27" x14ac:dyDescent="0.2">
      <c r="A265" s="131"/>
      <c r="B265" s="131"/>
      <c r="C265" s="131"/>
      <c r="D265" s="131"/>
      <c r="E265" s="131"/>
      <c r="F265" s="131"/>
      <c r="G265" s="131"/>
      <c r="H265" s="131"/>
      <c r="I265" s="131"/>
      <c r="J265" s="145"/>
      <c r="K265" s="60" t="s">
        <v>31</v>
      </c>
      <c r="L265" s="60" t="s">
        <v>32</v>
      </c>
      <c r="M265" s="60" t="s">
        <v>33</v>
      </c>
      <c r="N265" s="60" t="s">
        <v>108</v>
      </c>
      <c r="O265" s="60" t="s">
        <v>37</v>
      </c>
      <c r="P265" s="60" t="s">
        <v>8</v>
      </c>
      <c r="Q265" s="60" t="s">
        <v>34</v>
      </c>
      <c r="R265" s="60" t="s">
        <v>35</v>
      </c>
      <c r="S265" s="60" t="s">
        <v>31</v>
      </c>
      <c r="T265" s="60" t="s">
        <v>36</v>
      </c>
      <c r="U265" s="145"/>
      <c r="V265" s="72"/>
      <c r="W265" s="72"/>
    </row>
    <row r="266" spans="1:27" x14ac:dyDescent="0.2">
      <c r="A266" s="131" t="s">
        <v>62</v>
      </c>
      <c r="B266" s="131"/>
      <c r="C266" s="131"/>
      <c r="D266" s="131"/>
      <c r="E266" s="131"/>
      <c r="F266" s="131"/>
      <c r="G266" s="131"/>
      <c r="H266" s="131"/>
      <c r="I266" s="131"/>
      <c r="J266" s="131"/>
      <c r="K266" s="131"/>
      <c r="L266" s="131"/>
      <c r="M266" s="131"/>
      <c r="N266" s="131"/>
      <c r="O266" s="131"/>
      <c r="P266" s="131"/>
      <c r="Q266" s="131"/>
      <c r="R266" s="131"/>
      <c r="S266" s="131"/>
      <c r="T266" s="131"/>
      <c r="U266" s="131"/>
      <c r="V266" s="72"/>
      <c r="W266" s="72"/>
    </row>
    <row r="267" spans="1:27" x14ac:dyDescent="0.2">
      <c r="A267" s="24" t="str">
        <f>IF(ISNA(INDEX($A$37:$U$202,MATCH($B267,$B$37:$B$202,0),1)),"",INDEX($A$37:$U$202,MATCH($B267,$B$37:$B$202,0),1))</f>
        <v>*</v>
      </c>
      <c r="B267" s="135" t="s">
        <v>102</v>
      </c>
      <c r="C267" s="135"/>
      <c r="D267" s="135"/>
      <c r="E267" s="135"/>
      <c r="F267" s="135"/>
      <c r="G267" s="135"/>
      <c r="H267" s="135"/>
      <c r="I267" s="135"/>
      <c r="J267" s="14">
        <f>IF(ISNA(INDEX($A$37:$U$202,MATCH($B267,$B$37:$B$202,0),10)),"",INDEX($A$37:$U$202,MATCH($B267,$B$37:$B$202,0),10))</f>
        <v>3</v>
      </c>
      <c r="K267" s="14">
        <f>IF(ISNA(INDEX($A$37:$U$202,MATCH($B267,$B$37:$B$202,0),11)),"",INDEX($A$37:$U$202,MATCH($B267,$B$37:$B$202,0),11))</f>
        <v>0</v>
      </c>
      <c r="L267" s="14">
        <f>IF(ISNA(INDEX($A$37:$U$202,MATCH($B267,$B$37:$B$202,0),12)),"",INDEX($A$37:$U$202,MATCH($B267,$B$37:$B$202,0),12))</f>
        <v>0</v>
      </c>
      <c r="M267" s="14">
        <f>IF(ISNA(INDEX($A$37:$U$202,MATCH($B267,$B$37:$B$202,0),13)),"",INDEX($A$37:$U$202,MATCH($B267,$B$37:$B$202,0),13))</f>
        <v>2</v>
      </c>
      <c r="N267" s="51">
        <f>IF(ISNA(INDEX($A$37:$U$202,MATCH($B267,$B$37:$B$202,0),14)),"",INDEX($A$37:$U$202,MATCH($B267,$B$37:$B$202,0),14))</f>
        <v>0</v>
      </c>
      <c r="O267" s="51">
        <f>IF(ISNA(INDEX($A$37:$U$181,MATCH($B267,$B$37:$B$181,0),15)),"",INDEX($A$37:$U$181,MATCH($B267,$B$37:$B$181,0),15))</f>
        <v>2</v>
      </c>
      <c r="P267" s="51">
        <f>IF(ISNA(INDEX($A$37:$U$181,MATCH($B267,$B$37:$B$181,0),16)),"",INDEX($A$37:$U$181,MATCH($B267,$B$37:$B$181,0),16))</f>
        <v>3</v>
      </c>
      <c r="Q267" s="51">
        <f>IF(ISNA(INDEX($A$37:$U$181,MATCH($B267,$B$37:$B$181,0),17)),"",INDEX($A$37:$U$181,MATCH($B267,$B$37:$B$181,0),17))</f>
        <v>5</v>
      </c>
      <c r="R267" s="22">
        <f>IF(ISNA(INDEX($A$37:$U$181,MATCH($B267,$B$37:$B$181,0),18)),"",INDEX($A$37:$U$181,MATCH($B267,$B$37:$B$181,0),18))</f>
        <v>0</v>
      </c>
      <c r="S267" s="22" t="str">
        <f>IF(ISNA(INDEX($A$37:$U$181,MATCH($B267,$B$37:$B$181,0),19)),"",INDEX($A$37:$U$181,MATCH($B267,$B$37:$B$181,0),19))</f>
        <v>C</v>
      </c>
      <c r="T267" s="22">
        <f>IF(ISNA(INDEX($A$37:$U$181,MATCH($B267,$B$37:$B$181,0),20)),"",INDEX($A$37:$U$181,MATCH($B267,$B$37:$B$181,0),20))</f>
        <v>0</v>
      </c>
      <c r="U267" s="22" t="str">
        <f>IF(ISNA(INDEX($A$37:$U$181,MATCH($B267,$B$37:$B$181,0),21)),"",INDEX($A$37:$U$181,MATCH($B267,$B$37:$B$181,0),21))</f>
        <v>DC</v>
      </c>
      <c r="V267" s="83"/>
      <c r="W267" s="83"/>
      <c r="X267" s="68"/>
      <c r="Y267" s="68"/>
      <c r="Z267" s="68"/>
      <c r="AA267" s="68"/>
    </row>
    <row r="268" spans="1:27" x14ac:dyDescent="0.2">
      <c r="A268" s="24" t="str">
        <f>IF(ISNA(INDEX($A$37:$U$202,MATCH($B268,$B$37:$B$202,0),1)),"",INDEX($A$37:$U$202,MATCH($B268,$B$37:$B$202,0),1))</f>
        <v>YLU0011</v>
      </c>
      <c r="B268" s="135" t="s">
        <v>78</v>
      </c>
      <c r="C268" s="135"/>
      <c r="D268" s="135"/>
      <c r="E268" s="135"/>
      <c r="F268" s="135"/>
      <c r="G268" s="135"/>
      <c r="H268" s="135"/>
      <c r="I268" s="135"/>
      <c r="J268" s="14">
        <f>IF(ISNA(INDEX($A$37:$U$202,MATCH($B268,$B$37:$B$202,0),10)),"",INDEX($A$37:$U$202,MATCH($B268,$B$37:$B$202,0),10))</f>
        <v>2</v>
      </c>
      <c r="K268" s="14">
        <f>IF(ISNA(INDEX($A$37:$U$202,MATCH($B268,$B$37:$B$202,0),11)),"",INDEX($A$37:$U$202,MATCH($B268,$B$37:$B$202,0),11))</f>
        <v>0</v>
      </c>
      <c r="L268" s="14">
        <f>IF(ISNA(INDEX($A$37:$U$202,MATCH($B268,$B$37:$B$202,0),12)),"",INDEX($A$37:$U$202,MATCH($B268,$B$37:$B$202,0),12))</f>
        <v>2</v>
      </c>
      <c r="M268" s="14">
        <f>IF(ISNA(INDEX($A$37:$U$202,MATCH($B268,$B$37:$B$202,0),13)),"",INDEX($A$37:$U$202,MATCH($B268,$B$37:$B$202,0),13))</f>
        <v>0</v>
      </c>
      <c r="N268" s="51">
        <f>IF(ISNA(INDEX($A$37:$U$202,MATCH($B268,$B$37:$B$202,0),14)),"",INDEX($A$37:$U$202,MATCH($B268,$B$37:$B$202,0),14))</f>
        <v>0</v>
      </c>
      <c r="O268" s="51">
        <f>IF(ISNA(INDEX($A$37:$U$181,MATCH($B268,$B$37:$B$181,0),15)),"",INDEX($A$37:$U$181,MATCH($B268,$B$37:$B$181,0),15))</f>
        <v>2</v>
      </c>
      <c r="P268" s="51">
        <f>IF(ISNA(INDEX($A$37:$U$181,MATCH($B268,$B$37:$B$181,0),16)),"",INDEX($A$37:$U$181,MATCH($B268,$B$37:$B$181,0),16))</f>
        <v>2</v>
      </c>
      <c r="Q268" s="51">
        <f>IF(ISNA(INDEX($A$37:$U$181,MATCH($B268,$B$37:$B$181,0),17)),"",INDEX($A$37:$U$181,MATCH($B268,$B$37:$B$181,0),17))</f>
        <v>4</v>
      </c>
      <c r="R268" s="22">
        <f>IF(ISNA(INDEX($A$37:$U$181,MATCH($B268,$B$37:$B$181,0),18)),"",INDEX($A$37:$U$181,MATCH($B268,$B$37:$B$181,0),18))</f>
        <v>0</v>
      </c>
      <c r="S268" s="22">
        <f>IF(ISNA(INDEX($A$37:$U$181,MATCH($B268,$B$37:$B$181,0),19)),"",INDEX($A$37:$U$181,MATCH($B268,$B$37:$B$181,0),19))</f>
        <v>0</v>
      </c>
      <c r="T268" s="22" t="str">
        <f>IF(ISNA(INDEX($A$37:$U$181,MATCH($B268,$B$37:$B$181,0),20)),"",INDEX($A$37:$U$181,MATCH($B268,$B$37:$B$181,0),20))</f>
        <v>VP</v>
      </c>
      <c r="U268" s="22" t="str">
        <f>IF(ISNA(INDEX($A$37:$U$181,MATCH($B268,$B$37:$B$181,0),21)),"",INDEX($A$37:$U$181,MATCH($B268,$B$37:$B$181,0),21))</f>
        <v>DC</v>
      </c>
      <c r="V268" s="83"/>
      <c r="W268" s="83"/>
      <c r="X268" s="68"/>
      <c r="Y268" s="68"/>
      <c r="Z268" s="68"/>
      <c r="AA268" s="68"/>
    </row>
    <row r="269" spans="1:27" x14ac:dyDescent="0.2">
      <c r="A269" s="24" t="str">
        <f>IF(ISNA(INDEX($A$37:$U$202,MATCH($B269,$B$37:$B$202,0),1)),"",INDEX($A$37:$U$202,MATCH($B269,$B$37:$B$202,0),1))</f>
        <v>**</v>
      </c>
      <c r="B269" s="135" t="s">
        <v>103</v>
      </c>
      <c r="C269" s="135"/>
      <c r="D269" s="135"/>
      <c r="E269" s="135"/>
      <c r="F269" s="135"/>
      <c r="G269" s="135"/>
      <c r="H269" s="135"/>
      <c r="I269" s="135"/>
      <c r="J269" s="14">
        <f>IF(ISNA(INDEX($A$37:$U$202,MATCH($B269,$B$37:$B$202,0),10)),"",INDEX($A$37:$U$202,MATCH($B269,$B$37:$B$202,0),10))</f>
        <v>3</v>
      </c>
      <c r="K269" s="14">
        <f>IF(ISNA(INDEX($A$37:$U$202,MATCH($B269,$B$37:$B$202,0),11)),"",INDEX($A$37:$U$202,MATCH($B269,$B$37:$B$202,0),11))</f>
        <v>0</v>
      </c>
      <c r="L269" s="14">
        <f>IF(ISNA(INDEX($A$37:$U$202,MATCH($B269,$B$37:$B$202,0),12)),"",INDEX($A$37:$U$202,MATCH($B269,$B$37:$B$202,0),12))</f>
        <v>0</v>
      </c>
      <c r="M269" s="14">
        <f>IF(ISNA(INDEX($A$37:$U$202,MATCH($B269,$B$37:$B$202,0),13)),"",INDEX($A$37:$U$202,MATCH($B269,$B$37:$B$202,0),13))</f>
        <v>2</v>
      </c>
      <c r="N269" s="51">
        <f>IF(ISNA(INDEX($A$37:$U$202,MATCH($B269,$B$37:$B$202,0),14)),"",INDEX($A$37:$U$202,MATCH($B269,$B$37:$B$202,0),14))</f>
        <v>0</v>
      </c>
      <c r="O269" s="51">
        <f>IF(ISNA(INDEX($A$37:$U$181,MATCH($B269,$B$37:$B$181,0),15)),"",INDEX($A$37:$U$181,MATCH($B269,$B$37:$B$181,0),15))</f>
        <v>2</v>
      </c>
      <c r="P269" s="51">
        <f>IF(ISNA(INDEX($A$37:$U$181,MATCH($B269,$B$37:$B$181,0),16)),"",INDEX($A$37:$U$181,MATCH($B269,$B$37:$B$181,0),16))</f>
        <v>3</v>
      </c>
      <c r="Q269" s="51">
        <f>IF(ISNA(INDEX($A$37:$U$181,MATCH($B269,$B$37:$B$181,0),17)),"",INDEX($A$37:$U$181,MATCH($B269,$B$37:$B$181,0),17))</f>
        <v>5</v>
      </c>
      <c r="R269" s="22">
        <f>IF(ISNA(INDEX($A$37:$U$181,MATCH($B269,$B$37:$B$181,0),18)),"",INDEX($A$37:$U$181,MATCH($B269,$B$37:$B$181,0),18))</f>
        <v>0</v>
      </c>
      <c r="S269" s="22" t="str">
        <f>IF(ISNA(INDEX($A$37:$U$181,MATCH($B269,$B$37:$B$181,0),19)),"",INDEX($A$37:$U$181,MATCH($B269,$B$37:$B$181,0),19))</f>
        <v>C</v>
      </c>
      <c r="T269" s="22">
        <f>IF(ISNA(INDEX($A$37:$U$181,MATCH($B269,$B$37:$B$181,0),20)),"",INDEX($A$37:$U$181,MATCH($B269,$B$37:$B$181,0),20))</f>
        <v>0</v>
      </c>
      <c r="U269" s="22" t="str">
        <f>IF(ISNA(INDEX($A$37:$U$181,MATCH($B269,$B$37:$B$181,0),21)),"",INDEX($A$37:$U$181,MATCH($B269,$B$37:$B$181,0),21))</f>
        <v>DC</v>
      </c>
      <c r="V269" s="83"/>
      <c r="W269" s="83"/>
      <c r="X269" s="68"/>
      <c r="Y269" s="68"/>
      <c r="Z269" s="68"/>
      <c r="AA269" s="68"/>
    </row>
    <row r="270" spans="1:27" x14ac:dyDescent="0.2">
      <c r="A270" s="24" t="str">
        <f>IF(ISNA(INDEX($A$37:$U$202,MATCH($B270,$B$37:$B$202,0),1)),"",INDEX($A$37:$U$202,MATCH($B270,$B$37:$B$202,0),1))</f>
        <v>YLU0012</v>
      </c>
      <c r="B270" s="135" t="s">
        <v>79</v>
      </c>
      <c r="C270" s="135"/>
      <c r="D270" s="135"/>
      <c r="E270" s="135"/>
      <c r="F270" s="135"/>
      <c r="G270" s="135"/>
      <c r="H270" s="135"/>
      <c r="I270" s="135"/>
      <c r="J270" s="14">
        <f>IF(ISNA(INDEX($A$37:$U$202,MATCH($B270,$B$37:$B$202,0),10)),"",INDEX($A$37:$U$202,MATCH($B270,$B$37:$B$202,0),10))</f>
        <v>2</v>
      </c>
      <c r="K270" s="14">
        <f>IF(ISNA(INDEX($A$37:$U$202,MATCH($B270,$B$37:$B$202,0),11)),"",INDEX($A$37:$U$202,MATCH($B270,$B$37:$B$202,0),11))</f>
        <v>0</v>
      </c>
      <c r="L270" s="14">
        <f>IF(ISNA(INDEX($A$37:$U$202,MATCH($B270,$B$37:$B$202,0),12)),"",INDEX($A$37:$U$202,MATCH($B270,$B$37:$B$202,0),12))</f>
        <v>2</v>
      </c>
      <c r="M270" s="14">
        <f>IF(ISNA(INDEX($A$37:$U$202,MATCH($B270,$B$37:$B$202,0),13)),"",INDEX($A$37:$U$202,MATCH($B270,$B$37:$B$202,0),13))</f>
        <v>0</v>
      </c>
      <c r="N270" s="51">
        <f>IF(ISNA(INDEX($A$37:$U$202,MATCH($B270,$B$37:$B$202,0),14)),"",INDEX($A$37:$U$202,MATCH($B270,$B$37:$B$202,0),14))</f>
        <v>0</v>
      </c>
      <c r="O270" s="51">
        <f>IF(ISNA(INDEX($A$37:$U$181,MATCH($B270,$B$37:$B$181,0),15)),"",INDEX($A$37:$U$181,MATCH($B270,$B$37:$B$181,0),15))</f>
        <v>2</v>
      </c>
      <c r="P270" s="51">
        <f>IF(ISNA(INDEX($A$37:$U$181,MATCH($B270,$B$37:$B$181,0),16)),"",INDEX($A$37:$U$181,MATCH($B270,$B$37:$B$181,0),16))</f>
        <v>2</v>
      </c>
      <c r="Q270" s="51">
        <f>IF(ISNA(INDEX($A$37:$U$181,MATCH($B270,$B$37:$B$181,0),17)),"",INDEX($A$37:$U$181,MATCH($B270,$B$37:$B$181,0),17))</f>
        <v>4</v>
      </c>
      <c r="R270" s="22">
        <f>IF(ISNA(INDEX($A$37:$U$181,MATCH($B270,$B$37:$B$181,0),18)),"",INDEX($A$37:$U$181,MATCH($B270,$B$37:$B$181,0),18))</f>
        <v>0</v>
      </c>
      <c r="S270" s="22">
        <f>IF(ISNA(INDEX($A$37:$U$181,MATCH($B270,$B$37:$B$181,0),19)),"",INDEX($A$37:$U$181,MATCH($B270,$B$37:$B$181,0),19))</f>
        <v>0</v>
      </c>
      <c r="T270" s="22" t="str">
        <f>IF(ISNA(INDEX($A$37:$U$181,MATCH($B270,$B$37:$B$181,0),20)),"",INDEX($A$37:$U$181,MATCH($B270,$B$37:$B$181,0),20))</f>
        <v>VP</v>
      </c>
      <c r="U270" s="22" t="str">
        <f>IF(ISNA(INDEX($A$37:$U$181,MATCH($B270,$B$37:$B$181,0),21)),"",INDEX($A$37:$U$181,MATCH($B270,$B$37:$B$181,0),21))</f>
        <v>DC</v>
      </c>
      <c r="V270" s="83"/>
      <c r="W270" s="83"/>
      <c r="X270" s="68"/>
      <c r="Y270" s="68"/>
      <c r="Z270" s="68"/>
      <c r="AA270" s="68"/>
    </row>
    <row r="271" spans="1:27" x14ac:dyDescent="0.2">
      <c r="A271" s="24" t="str">
        <f>IF(ISNA(INDEX($A$37:$U$202,MATCH($B271,$B$37:$B$202,0),1)),"",INDEX($A$37:$U$202,MATCH($B271,$B$37:$B$202,0),1))</f>
        <v>VLR1465</v>
      </c>
      <c r="B271" s="135" t="s">
        <v>142</v>
      </c>
      <c r="C271" s="135"/>
      <c r="D271" s="135"/>
      <c r="E271" s="135"/>
      <c r="F271" s="135"/>
      <c r="G271" s="135"/>
      <c r="H271" s="135"/>
      <c r="I271" s="135"/>
      <c r="J271" s="14">
        <f>IF(ISNA(INDEX($A$37:$U$202,MATCH($B271,$B$37:$B$202,0),10)),"",INDEX($A$37:$U$202,MATCH($B271,$B$37:$B$202,0),10))</f>
        <v>4</v>
      </c>
      <c r="K271" s="14">
        <f>IF(ISNA(INDEX($A$37:$U$202,MATCH($B271,$B$37:$B$202,0),11)),"",INDEX($A$37:$U$202,MATCH($B271,$B$37:$B$202,0),11))</f>
        <v>2</v>
      </c>
      <c r="L271" s="14">
        <f>IF(ISNA(INDEX($A$37:$U$202,MATCH($B271,$B$37:$B$202,0),12)),"",INDEX($A$37:$U$202,MATCH($B271,$B$37:$B$202,0),12))</f>
        <v>0</v>
      </c>
      <c r="M271" s="14">
        <f>IF(ISNA(INDEX($A$37:$U$202,MATCH($B271,$B$37:$B$202,0),13)),"",INDEX($A$37:$U$202,MATCH($B271,$B$37:$B$202,0),13))</f>
        <v>2</v>
      </c>
      <c r="N271" s="51">
        <f>IF(ISNA(INDEX($A$37:$U$202,MATCH($B271,$B$37:$B$202,0),14)),"",INDEX($A$37:$U$202,MATCH($B271,$B$37:$B$202,0),14))</f>
        <v>0</v>
      </c>
      <c r="O271" s="51">
        <f>IF(ISNA(INDEX($A$37:$U$181,MATCH($B271,$B$37:$B$181,0),15)),"",INDEX($A$37:$U$181,MATCH($B271,$B$37:$B$181,0),15))</f>
        <v>4</v>
      </c>
      <c r="P271" s="51">
        <f>IF(ISNA(INDEX($A$37:$U$181,MATCH($B271,$B$37:$B$181,0),16)),"",INDEX($A$37:$U$181,MATCH($B271,$B$37:$B$181,0),16))</f>
        <v>3</v>
      </c>
      <c r="Q271" s="51">
        <f>IF(ISNA(INDEX($A$37:$U$181,MATCH($B271,$B$37:$B$181,0),17)),"",INDEX($A$37:$U$181,MATCH($B271,$B$37:$B$181,0),17))</f>
        <v>7</v>
      </c>
      <c r="R271" s="22">
        <f>IF(ISNA(INDEX($A$37:$U$181,MATCH($B271,$B$37:$B$181,0),18)),"",INDEX($A$37:$U$181,MATCH($B271,$B$37:$B$181,0),18))</f>
        <v>0</v>
      </c>
      <c r="S271" s="22">
        <f>IF(ISNA(INDEX($A$37:$U$181,MATCH($B271,$B$37:$B$181,0),19)),"",INDEX($A$37:$U$181,MATCH($B271,$B$37:$B$181,0),19))</f>
        <v>0</v>
      </c>
      <c r="T271" s="22" t="str">
        <f>IF(ISNA(INDEX($A$37:$U$181,MATCH($B271,$B$37:$B$181,0),20)),"",INDEX($A$37:$U$181,MATCH($B271,$B$37:$B$181,0),20))</f>
        <v>VP</v>
      </c>
      <c r="U271" s="22" t="str">
        <f>IF(ISNA(INDEX($A$37:$U$181,MATCH($B271,$B$37:$B$181,0),21)),"",INDEX($A$37:$U$181,MATCH($B271,$B$37:$B$181,0),21))</f>
        <v>DC</v>
      </c>
      <c r="V271" s="83"/>
      <c r="W271" s="83"/>
      <c r="X271" s="68"/>
      <c r="Y271" s="68"/>
      <c r="Z271" s="68"/>
      <c r="AA271" s="68"/>
    </row>
    <row r="272" spans="1:27" hidden="1" x14ac:dyDescent="0.2">
      <c r="A272" s="62" t="s">
        <v>28</v>
      </c>
      <c r="B272" s="130"/>
      <c r="C272" s="130"/>
      <c r="D272" s="130"/>
      <c r="E272" s="130"/>
      <c r="F272" s="130"/>
      <c r="G272" s="130"/>
      <c r="H272" s="130"/>
      <c r="I272" s="130"/>
      <c r="J272" s="17">
        <f t="shared" ref="J272:Q272" si="58">SUM(J267:J271)</f>
        <v>14</v>
      </c>
      <c r="K272" s="17">
        <f t="shared" si="58"/>
        <v>2</v>
      </c>
      <c r="L272" s="17">
        <f t="shared" si="58"/>
        <v>4</v>
      </c>
      <c r="M272" s="17">
        <f t="shared" si="58"/>
        <v>6</v>
      </c>
      <c r="N272" s="53">
        <f t="shared" si="58"/>
        <v>0</v>
      </c>
      <c r="O272" s="53">
        <f t="shared" si="58"/>
        <v>12</v>
      </c>
      <c r="P272" s="53">
        <f t="shared" si="58"/>
        <v>13</v>
      </c>
      <c r="Q272" s="53">
        <f t="shared" si="58"/>
        <v>25</v>
      </c>
      <c r="R272" s="62">
        <f>COUNTIF(R267:R271,"E")</f>
        <v>0</v>
      </c>
      <c r="S272" s="62">
        <f>COUNTIF(S267:S271,"C")</f>
        <v>2</v>
      </c>
      <c r="T272" s="62">
        <f>COUNTIF(T267:T271,"VP")</f>
        <v>3</v>
      </c>
      <c r="U272" s="63">
        <f>COUNTA(U267:U271)</f>
        <v>5</v>
      </c>
      <c r="V272" s="84"/>
      <c r="W272" s="84"/>
      <c r="X272" s="80"/>
      <c r="Y272" s="80"/>
      <c r="Z272" s="80"/>
      <c r="AA272" s="80"/>
    </row>
    <row r="273" spans="1:27" hidden="1" x14ac:dyDescent="0.2">
      <c r="A273" s="131" t="s">
        <v>76</v>
      </c>
      <c r="B273" s="131"/>
      <c r="C273" s="131"/>
      <c r="D273" s="131"/>
      <c r="E273" s="131"/>
      <c r="F273" s="131"/>
      <c r="G273" s="131"/>
      <c r="H273" s="131"/>
      <c r="I273" s="131"/>
      <c r="J273" s="131"/>
      <c r="K273" s="131"/>
      <c r="L273" s="131"/>
      <c r="M273" s="131"/>
      <c r="N273" s="131"/>
      <c r="O273" s="131"/>
      <c r="P273" s="131"/>
      <c r="Q273" s="131"/>
      <c r="R273" s="131"/>
      <c r="S273" s="131"/>
      <c r="T273" s="131"/>
      <c r="U273" s="131"/>
      <c r="V273" s="85"/>
      <c r="W273" s="85"/>
      <c r="X273" s="82"/>
      <c r="Y273" s="82"/>
      <c r="Z273" s="82"/>
      <c r="AA273" s="82"/>
    </row>
    <row r="274" spans="1:27" hidden="1" x14ac:dyDescent="0.2">
      <c r="A274" s="24" t="str">
        <f>IF(ISNA(INDEX($A$37:$U$181,MATCH($B274,$B$37:$B$181,0),1)),"",INDEX($A$37:$U$181,MATCH($B274,$B$37:$B$181,0),1))</f>
        <v/>
      </c>
      <c r="B274" s="135"/>
      <c r="C274" s="135"/>
      <c r="D274" s="135"/>
      <c r="E274" s="135"/>
      <c r="F274" s="135"/>
      <c r="G274" s="135"/>
      <c r="H274" s="135"/>
      <c r="I274" s="135"/>
      <c r="J274" s="14" t="str">
        <f>IF(ISNA(INDEX($A$37:$U$181,MATCH($B274,$B$37:$B$181,0),10)),"",INDEX($A$37:$U$181,MATCH($B274,$B$37:$B$181,0),10))</f>
        <v/>
      </c>
      <c r="K274" s="14" t="str">
        <f>IF(ISNA(INDEX($A$37:$U$181,MATCH($B274,$B$37:$B$181,0),11)),"",INDEX($A$37:$U$181,MATCH($B274,$B$37:$B$181,0),11))</f>
        <v/>
      </c>
      <c r="L274" s="14" t="str">
        <f>IF(ISNA(INDEX($A$37:$U$181,MATCH($B274,$B$37:$B$181,0),12)),"",INDEX($A$37:$U$181,MATCH($B274,$B$37:$B$181,0),12))</f>
        <v/>
      </c>
      <c r="M274" s="14" t="str">
        <f>IF(ISNA(INDEX($A$37:$U$181,MATCH($B274,$B$37:$B$181,0),13)),"",INDEX($A$37:$U$181,MATCH($B274,$B$37:$B$181,0),13))</f>
        <v/>
      </c>
      <c r="N274" s="51" t="str">
        <f>IF(ISNA(INDEX($A$37:$U$181,MATCH($B274,$B$37:$B$181,0),14)),"",INDEX($A$37:$U$181,MATCH($B274,$B$37:$B$181,0),14))</f>
        <v/>
      </c>
      <c r="O274" s="51" t="str">
        <f>IF(ISNA(INDEX($A$37:$U$181,MATCH($B274,$B$37:$B$181,0),15)),"",INDEX($A$37:$U$181,MATCH($B274,$B$37:$B$181,0),15))</f>
        <v/>
      </c>
      <c r="P274" s="51" t="str">
        <f>IF(ISNA(INDEX($A$37:$U$181,MATCH($B274,$B$37:$B$181,0),16)),"",INDEX($A$37:$U$181,MATCH($B274,$B$37:$B$181,0),16))</f>
        <v/>
      </c>
      <c r="Q274" s="51" t="str">
        <f>IF(ISNA(INDEX($A$37:$U$181,MATCH($B274,$B$37:$B$181,0),17)),"",INDEX($A$37:$U$181,MATCH($B274,$B$37:$B$181,0),17))</f>
        <v/>
      </c>
      <c r="R274" s="22" t="str">
        <f>IF(ISNA(INDEX($A$37:$U$181,MATCH($B274,$B$37:$B$181,0),18)),"",INDEX($A$37:$U$181,MATCH($B274,$B$37:$B$181,0),18))</f>
        <v/>
      </c>
      <c r="S274" s="22" t="str">
        <f>IF(ISNA(INDEX($A$37:$U$181,MATCH($B274,$B$37:$B$181,0),19)),"",INDEX($A$37:$U$181,MATCH($B274,$B$37:$B$181,0),19))</f>
        <v/>
      </c>
      <c r="T274" s="22" t="str">
        <f>IF(ISNA(INDEX($A$37:$U$181,MATCH($B274,$B$37:$B$181,0),20)),"",INDEX($A$37:$U$181,MATCH($B274,$B$37:$B$181,0),20))</f>
        <v/>
      </c>
      <c r="U274" s="22" t="str">
        <f>IF(ISNA(INDEX($A$37:$U$181,MATCH($B274,$B$37:$B$181,0),21)),"",INDEX($A$37:$U$181,MATCH($B274,$B$37:$B$181,0),21))</f>
        <v/>
      </c>
      <c r="V274" s="80"/>
      <c r="W274" s="80"/>
      <c r="X274" s="80"/>
      <c r="Y274" s="80"/>
      <c r="Z274" s="80"/>
      <c r="AA274" s="80"/>
    </row>
    <row r="275" spans="1:27" hidden="1" x14ac:dyDescent="0.2">
      <c r="A275" s="16" t="s">
        <v>28</v>
      </c>
      <c r="B275" s="131"/>
      <c r="C275" s="131"/>
      <c r="D275" s="131"/>
      <c r="E275" s="131"/>
      <c r="F275" s="131"/>
      <c r="G275" s="131"/>
      <c r="H275" s="131"/>
      <c r="I275" s="131"/>
      <c r="J275" s="17">
        <f t="shared" ref="J275:Q275" si="59">SUM(J274:J274)</f>
        <v>0</v>
      </c>
      <c r="K275" s="17">
        <f t="shared" si="59"/>
        <v>0</v>
      </c>
      <c r="L275" s="17">
        <f t="shared" si="59"/>
        <v>0</v>
      </c>
      <c r="M275" s="17">
        <f t="shared" si="59"/>
        <v>0</v>
      </c>
      <c r="N275" s="53">
        <f t="shared" si="59"/>
        <v>0</v>
      </c>
      <c r="O275" s="53">
        <f t="shared" si="59"/>
        <v>0</v>
      </c>
      <c r="P275" s="53">
        <f t="shared" si="59"/>
        <v>0</v>
      </c>
      <c r="Q275" s="53">
        <f t="shared" si="59"/>
        <v>0</v>
      </c>
      <c r="R275" s="16">
        <f>COUNTIF(R274:R274,"E")</f>
        <v>0</v>
      </c>
      <c r="S275" s="16">
        <f>COUNTIF(S274:S274,"C")</f>
        <v>0</v>
      </c>
      <c r="T275" s="16">
        <f>COUNTIF(T274:T274,"VP")</f>
        <v>0</v>
      </c>
      <c r="U275" s="39">
        <v>0</v>
      </c>
    </row>
    <row r="276" spans="1:27" ht="31.5" customHeight="1" x14ac:dyDescent="0.2">
      <c r="A276" s="136" t="s">
        <v>110</v>
      </c>
      <c r="B276" s="137"/>
      <c r="C276" s="137"/>
      <c r="D276" s="137"/>
      <c r="E276" s="137"/>
      <c r="F276" s="137"/>
      <c r="G276" s="137"/>
      <c r="H276" s="137"/>
      <c r="I276" s="138"/>
      <c r="J276" s="17">
        <f t="shared" ref="J276:U276" si="60">SUM(J272,J275)</f>
        <v>14</v>
      </c>
      <c r="K276" s="17">
        <f t="shared" si="60"/>
        <v>2</v>
      </c>
      <c r="L276" s="17">
        <f t="shared" si="60"/>
        <v>4</v>
      </c>
      <c r="M276" s="17">
        <f t="shared" si="60"/>
        <v>6</v>
      </c>
      <c r="N276" s="53">
        <f t="shared" si="60"/>
        <v>0</v>
      </c>
      <c r="O276" s="53">
        <f t="shared" si="60"/>
        <v>12</v>
      </c>
      <c r="P276" s="53">
        <f t="shared" si="60"/>
        <v>13</v>
      </c>
      <c r="Q276" s="53">
        <f t="shared" si="60"/>
        <v>25</v>
      </c>
      <c r="R276" s="17">
        <f t="shared" si="60"/>
        <v>0</v>
      </c>
      <c r="S276" s="17">
        <f t="shared" si="60"/>
        <v>2</v>
      </c>
      <c r="T276" s="17">
        <f t="shared" si="60"/>
        <v>3</v>
      </c>
      <c r="U276" s="57">
        <f t="shared" si="60"/>
        <v>5</v>
      </c>
    </row>
    <row r="277" spans="1:27" x14ac:dyDescent="0.2">
      <c r="A277" s="139" t="s">
        <v>53</v>
      </c>
      <c r="B277" s="140"/>
      <c r="C277" s="140"/>
      <c r="D277" s="140"/>
      <c r="E277" s="140"/>
      <c r="F277" s="140"/>
      <c r="G277" s="140"/>
      <c r="H277" s="140"/>
      <c r="I277" s="140"/>
      <c r="J277" s="141"/>
      <c r="K277" s="17">
        <f t="shared" ref="K277:Q277" si="61">K272*14+K275*12</f>
        <v>28</v>
      </c>
      <c r="L277" s="17">
        <f t="shared" si="61"/>
        <v>56</v>
      </c>
      <c r="M277" s="17">
        <f t="shared" si="61"/>
        <v>84</v>
      </c>
      <c r="N277" s="53">
        <f t="shared" si="61"/>
        <v>0</v>
      </c>
      <c r="O277" s="53">
        <f t="shared" si="61"/>
        <v>168</v>
      </c>
      <c r="P277" s="53">
        <f t="shared" si="61"/>
        <v>182</v>
      </c>
      <c r="Q277" s="53">
        <f t="shared" si="61"/>
        <v>350</v>
      </c>
      <c r="R277" s="121"/>
      <c r="S277" s="122"/>
      <c r="T277" s="122"/>
      <c r="U277" s="123"/>
    </row>
    <row r="278" spans="1:27" x14ac:dyDescent="0.2">
      <c r="A278" s="142"/>
      <c r="B278" s="143"/>
      <c r="C278" s="143"/>
      <c r="D278" s="143"/>
      <c r="E278" s="143"/>
      <c r="F278" s="143"/>
      <c r="G278" s="143"/>
      <c r="H278" s="143"/>
      <c r="I278" s="143"/>
      <c r="J278" s="144"/>
      <c r="K278" s="127">
        <f>SUM(K277:N277)</f>
        <v>168</v>
      </c>
      <c r="L278" s="128"/>
      <c r="M278" s="128"/>
      <c r="N278" s="129"/>
      <c r="O278" s="127">
        <f>SUM(O277:P277)</f>
        <v>350</v>
      </c>
      <c r="P278" s="128"/>
      <c r="Q278" s="129"/>
      <c r="R278" s="124"/>
      <c r="S278" s="125"/>
      <c r="T278" s="125"/>
      <c r="U278" s="126"/>
    </row>
    <row r="279" spans="1:27" ht="18" customHeight="1" x14ac:dyDescent="0.2">
      <c r="A279" s="108" t="s">
        <v>111</v>
      </c>
      <c r="B279" s="109"/>
      <c r="C279" s="109"/>
      <c r="D279" s="109"/>
      <c r="E279" s="109"/>
      <c r="F279" s="109"/>
      <c r="G279" s="109"/>
      <c r="H279" s="109"/>
      <c r="I279" s="109"/>
      <c r="J279" s="110"/>
      <c r="K279" s="111">
        <f>U276/SUM(U48,U63,U82,U101,U117,U131)</f>
        <v>0.11904761904761904</v>
      </c>
      <c r="L279" s="112"/>
      <c r="M279" s="112"/>
      <c r="N279" s="112"/>
      <c r="O279" s="112"/>
      <c r="P279" s="112"/>
      <c r="Q279" s="112"/>
      <c r="R279" s="112"/>
      <c r="S279" s="112"/>
      <c r="T279" s="112"/>
      <c r="U279" s="113"/>
    </row>
    <row r="280" spans="1:27" ht="18" customHeight="1" x14ac:dyDescent="0.2">
      <c r="A280" s="114" t="s">
        <v>112</v>
      </c>
      <c r="B280" s="115"/>
      <c r="C280" s="115"/>
      <c r="D280" s="115"/>
      <c r="E280" s="115"/>
      <c r="F280" s="115"/>
      <c r="G280" s="115"/>
      <c r="H280" s="115"/>
      <c r="I280" s="115"/>
      <c r="J280" s="116"/>
      <c r="K280" s="111">
        <f>K278/(SUM(O48,O63,O82,O101,O117)*14+O131*12)</f>
        <v>9.0274046211714129E-2</v>
      </c>
      <c r="L280" s="112"/>
      <c r="M280" s="112"/>
      <c r="N280" s="112"/>
      <c r="O280" s="112"/>
      <c r="P280" s="112"/>
      <c r="Q280" s="112"/>
      <c r="R280" s="112"/>
      <c r="S280" s="112"/>
      <c r="T280" s="112"/>
      <c r="U280" s="113"/>
    </row>
    <row r="282" spans="1:27" x14ac:dyDescent="0.2">
      <c r="A282" s="217" t="s">
        <v>77</v>
      </c>
      <c r="B282" s="217"/>
      <c r="V282" s="40"/>
    </row>
    <row r="283" spans="1:27" ht="18" customHeight="1" x14ac:dyDescent="0.2">
      <c r="A283" s="145" t="s">
        <v>30</v>
      </c>
      <c r="B283" s="213" t="s">
        <v>65</v>
      </c>
      <c r="C283" s="306"/>
      <c r="D283" s="306"/>
      <c r="E283" s="306"/>
      <c r="F283" s="306"/>
      <c r="G283" s="214"/>
      <c r="H283" s="213" t="s">
        <v>68</v>
      </c>
      <c r="I283" s="214"/>
      <c r="J283" s="207" t="s">
        <v>69</v>
      </c>
      <c r="K283" s="208"/>
      <c r="L283" s="208"/>
      <c r="M283" s="208"/>
      <c r="N283" s="208"/>
      <c r="O283" s="208"/>
      <c r="P283" s="209"/>
      <c r="Q283" s="213" t="s">
        <v>52</v>
      </c>
      <c r="R283" s="214"/>
      <c r="S283" s="207" t="s">
        <v>70</v>
      </c>
      <c r="T283" s="208"/>
      <c r="U283" s="209"/>
      <c r="V283" s="40"/>
      <c r="W283" s="40"/>
    </row>
    <row r="284" spans="1:27" ht="14.25" customHeight="1" x14ac:dyDescent="0.2">
      <c r="A284" s="145"/>
      <c r="B284" s="215"/>
      <c r="C284" s="307"/>
      <c r="D284" s="307"/>
      <c r="E284" s="307"/>
      <c r="F284" s="307"/>
      <c r="G284" s="216"/>
      <c r="H284" s="215"/>
      <c r="I284" s="216"/>
      <c r="J284" s="207" t="s">
        <v>37</v>
      </c>
      <c r="K284" s="209"/>
      <c r="L284" s="207" t="s">
        <v>8</v>
      </c>
      <c r="M284" s="208"/>
      <c r="N284" s="209"/>
      <c r="O284" s="207" t="s">
        <v>34</v>
      </c>
      <c r="P284" s="209"/>
      <c r="Q284" s="215"/>
      <c r="R284" s="216"/>
      <c r="S284" s="23" t="s">
        <v>71</v>
      </c>
      <c r="T284" s="23" t="s">
        <v>72</v>
      </c>
      <c r="U284" s="23" t="s">
        <v>73</v>
      </c>
    </row>
    <row r="285" spans="1:27" x14ac:dyDescent="0.2">
      <c r="A285" s="23">
        <v>1</v>
      </c>
      <c r="B285" s="207" t="s">
        <v>66</v>
      </c>
      <c r="C285" s="208"/>
      <c r="D285" s="208"/>
      <c r="E285" s="208"/>
      <c r="F285" s="208"/>
      <c r="G285" s="209"/>
      <c r="H285" s="212">
        <f>J285</f>
        <v>1721</v>
      </c>
      <c r="I285" s="212"/>
      <c r="J285" s="218">
        <f>(SUM(O48+O63+O82+O101+O117)*14+O131*12)-J286</f>
        <v>1721</v>
      </c>
      <c r="K285" s="220"/>
      <c r="L285" s="218">
        <f>(SUM(P48+P63+P82+P101+P117)*14+P131*12)-L286</f>
        <v>2705</v>
      </c>
      <c r="M285" s="219"/>
      <c r="N285" s="220"/>
      <c r="O285" s="218">
        <f>(SUM(Q48+Q63+Q82+Q101+Q117)*14+Q131*12)-O286</f>
        <v>4426</v>
      </c>
      <c r="P285" s="220"/>
      <c r="Q285" s="288">
        <f>H285/H287</f>
        <v>0.92477162815690483</v>
      </c>
      <c r="R285" s="289"/>
      <c r="S285" s="13">
        <f>J48+J63-S286</f>
        <v>64</v>
      </c>
      <c r="T285" s="13">
        <f>J82+J101-T286</f>
        <v>58</v>
      </c>
      <c r="U285" s="13">
        <f>J117+J131-U286</f>
        <v>55</v>
      </c>
    </row>
    <row r="286" spans="1:27" ht="12.75" customHeight="1" x14ac:dyDescent="0.2">
      <c r="A286" s="23">
        <v>2</v>
      </c>
      <c r="B286" s="207" t="s">
        <v>67</v>
      </c>
      <c r="C286" s="208"/>
      <c r="D286" s="208"/>
      <c r="E286" s="208"/>
      <c r="F286" s="208"/>
      <c r="G286" s="209"/>
      <c r="H286" s="212">
        <f>J286</f>
        <v>140</v>
      </c>
      <c r="I286" s="212"/>
      <c r="J286" s="221">
        <f>O159</f>
        <v>140</v>
      </c>
      <c r="K286" s="224"/>
      <c r="L286" s="221">
        <f>P159</f>
        <v>182</v>
      </c>
      <c r="M286" s="222"/>
      <c r="N286" s="223"/>
      <c r="O286" s="286">
        <f>SUM(J286:M286)</f>
        <v>322</v>
      </c>
      <c r="P286" s="287"/>
      <c r="Q286" s="288">
        <f>H286/H287</f>
        <v>7.522837184309511E-2</v>
      </c>
      <c r="R286" s="289"/>
      <c r="S286" s="12">
        <v>0</v>
      </c>
      <c r="T286" s="12">
        <v>8</v>
      </c>
      <c r="U286" s="12">
        <v>5</v>
      </c>
      <c r="V286" s="147" t="str">
        <f>IF(O286=Q159,"Corect","Nu corespunde cu tabelul de opționale")</f>
        <v>Corect</v>
      </c>
      <c r="W286" s="148"/>
      <c r="X286" s="148"/>
      <c r="Y286" s="148"/>
    </row>
    <row r="287" spans="1:27" x14ac:dyDescent="0.2">
      <c r="A287" s="207" t="s">
        <v>28</v>
      </c>
      <c r="B287" s="208"/>
      <c r="C287" s="208"/>
      <c r="D287" s="208"/>
      <c r="E287" s="208"/>
      <c r="F287" s="208"/>
      <c r="G287" s="209"/>
      <c r="H287" s="145">
        <f>SUM(H285:I286)</f>
        <v>1861</v>
      </c>
      <c r="I287" s="145"/>
      <c r="J287" s="145">
        <f>SUM(J285:K286)</f>
        <v>1861</v>
      </c>
      <c r="K287" s="145"/>
      <c r="L287" s="132">
        <f>SUM(L285:N286)</f>
        <v>2887</v>
      </c>
      <c r="M287" s="133"/>
      <c r="N287" s="134"/>
      <c r="O287" s="132">
        <f>SUM(O285:P286)</f>
        <v>4748</v>
      </c>
      <c r="P287" s="134"/>
      <c r="Q287" s="210">
        <f>SUM(Q285:R286)</f>
        <v>1</v>
      </c>
      <c r="R287" s="211"/>
      <c r="S287" s="16">
        <f>SUM(S285:S286)</f>
        <v>64</v>
      </c>
      <c r="T287" s="16">
        <f>SUM(T285:T286)</f>
        <v>66</v>
      </c>
      <c r="U287" s="16">
        <f>SUM(U285:U286)</f>
        <v>60</v>
      </c>
    </row>
    <row r="288" spans="1:27" s="58" customFormat="1" x14ac:dyDescent="0.2">
      <c r="A288" s="78"/>
      <c r="B288" s="78"/>
      <c r="C288" s="78"/>
      <c r="D288" s="78"/>
      <c r="E288" s="78"/>
      <c r="F288" s="78"/>
      <c r="G288" s="78"/>
      <c r="H288" s="78"/>
      <c r="I288" s="78"/>
      <c r="J288" s="78"/>
      <c r="K288" s="78"/>
      <c r="L288" s="69"/>
      <c r="M288" s="69"/>
      <c r="N288" s="69"/>
      <c r="O288" s="69"/>
      <c r="P288" s="69"/>
      <c r="Q288" s="79"/>
      <c r="R288" s="79"/>
      <c r="S288" s="69"/>
      <c r="T288" s="69"/>
      <c r="U288" s="69"/>
    </row>
    <row r="289" spans="1:30" ht="19.5" customHeight="1" x14ac:dyDescent="0.2">
      <c r="A289" s="191" t="s">
        <v>96</v>
      </c>
      <c r="B289" s="191"/>
      <c r="C289" s="191"/>
      <c r="D289" s="191"/>
      <c r="E289" s="191"/>
      <c r="F289" s="191"/>
      <c r="G289" s="191"/>
      <c r="H289" s="191"/>
      <c r="I289" s="191"/>
      <c r="J289" s="191"/>
      <c r="K289" s="191"/>
      <c r="L289" s="191"/>
      <c r="M289" s="191"/>
      <c r="N289" s="191"/>
      <c r="O289" s="191"/>
      <c r="P289" s="191"/>
      <c r="Q289" s="191"/>
      <c r="R289" s="191"/>
      <c r="S289" s="191"/>
      <c r="T289" s="191"/>
      <c r="U289" s="191"/>
      <c r="V289" s="68"/>
      <c r="W289" s="68"/>
      <c r="X289" s="68"/>
      <c r="Y289" s="68"/>
      <c r="Z289" s="68"/>
      <c r="AA289" s="68"/>
      <c r="AB289" s="80"/>
      <c r="AC289" s="80"/>
      <c r="AD289" s="80"/>
    </row>
    <row r="290" spans="1:30" ht="5.25" customHeight="1" x14ac:dyDescent="0.2">
      <c r="V290" s="68"/>
      <c r="W290" s="68"/>
      <c r="X290" s="68"/>
      <c r="Y290" s="68"/>
      <c r="Z290" s="68"/>
      <c r="AA290" s="68"/>
      <c r="AB290" s="80"/>
      <c r="AC290" s="80"/>
      <c r="AD290" s="80"/>
    </row>
    <row r="291" spans="1:30" ht="17.25" customHeight="1" x14ac:dyDescent="0.2">
      <c r="A291" s="192" t="s">
        <v>82</v>
      </c>
      <c r="B291" s="193"/>
      <c r="C291" s="193"/>
      <c r="D291" s="193"/>
      <c r="E291" s="193"/>
      <c r="F291" s="193"/>
      <c r="G291" s="193"/>
      <c r="H291" s="193"/>
      <c r="I291" s="193"/>
      <c r="J291" s="193"/>
      <c r="K291" s="193"/>
      <c r="L291" s="193"/>
      <c r="M291" s="193"/>
      <c r="N291" s="193"/>
      <c r="O291" s="193"/>
      <c r="P291" s="193"/>
      <c r="Q291" s="193"/>
      <c r="R291" s="193"/>
      <c r="S291" s="193"/>
      <c r="T291" s="193"/>
      <c r="U291" s="194"/>
      <c r="V291" s="68"/>
      <c r="W291" s="68"/>
      <c r="X291" s="68"/>
      <c r="Y291" s="68"/>
      <c r="Z291" s="68"/>
      <c r="AA291" s="68"/>
      <c r="AB291" s="80"/>
      <c r="AC291" s="80"/>
      <c r="AD291" s="80"/>
    </row>
    <row r="292" spans="1:30" ht="26.25" customHeight="1" x14ac:dyDescent="0.2">
      <c r="A292" s="195" t="s">
        <v>30</v>
      </c>
      <c r="B292" s="197" t="s">
        <v>29</v>
      </c>
      <c r="C292" s="198"/>
      <c r="D292" s="198"/>
      <c r="E292" s="198"/>
      <c r="F292" s="198"/>
      <c r="G292" s="198"/>
      <c r="H292" s="198"/>
      <c r="I292" s="199"/>
      <c r="J292" s="203" t="s">
        <v>43</v>
      </c>
      <c r="K292" s="188" t="s">
        <v>27</v>
      </c>
      <c r="L292" s="189"/>
      <c r="M292" s="189"/>
      <c r="N292" s="190"/>
      <c r="O292" s="205" t="s">
        <v>44</v>
      </c>
      <c r="P292" s="206"/>
      <c r="Q292" s="206"/>
      <c r="R292" s="205" t="s">
        <v>26</v>
      </c>
      <c r="S292" s="205"/>
      <c r="T292" s="205"/>
      <c r="U292" s="205" t="s">
        <v>25</v>
      </c>
      <c r="V292" s="80"/>
      <c r="W292" s="81"/>
      <c r="X292" s="81"/>
      <c r="Y292" s="81"/>
      <c r="Z292" s="81"/>
      <c r="AA292" s="81"/>
      <c r="AB292" s="81"/>
      <c r="AC292" s="81"/>
      <c r="AD292" s="81"/>
    </row>
    <row r="293" spans="1:30" ht="12.75" customHeight="1" x14ac:dyDescent="0.2">
      <c r="A293" s="196"/>
      <c r="B293" s="200"/>
      <c r="C293" s="201"/>
      <c r="D293" s="201"/>
      <c r="E293" s="201"/>
      <c r="F293" s="201"/>
      <c r="G293" s="201"/>
      <c r="H293" s="201"/>
      <c r="I293" s="202"/>
      <c r="J293" s="204"/>
      <c r="K293" s="27" t="s">
        <v>31</v>
      </c>
      <c r="L293" s="27" t="s">
        <v>32</v>
      </c>
      <c r="M293" s="188" t="s">
        <v>33</v>
      </c>
      <c r="N293" s="190"/>
      <c r="O293" s="27" t="s">
        <v>37</v>
      </c>
      <c r="P293" s="27" t="s">
        <v>8</v>
      </c>
      <c r="Q293" s="27" t="s">
        <v>34</v>
      </c>
      <c r="R293" s="27" t="s">
        <v>35</v>
      </c>
      <c r="S293" s="27" t="s">
        <v>31</v>
      </c>
      <c r="T293" s="27" t="s">
        <v>36</v>
      </c>
      <c r="U293" s="205"/>
      <c r="V293" s="80"/>
      <c r="W293" s="81"/>
      <c r="X293" s="81"/>
      <c r="Y293" s="81"/>
      <c r="Z293" s="81"/>
      <c r="AA293" s="81"/>
      <c r="AB293" s="81"/>
      <c r="AC293" s="81"/>
      <c r="AD293" s="81"/>
    </row>
    <row r="294" spans="1:30" ht="15.75" customHeight="1" x14ac:dyDescent="0.2">
      <c r="A294" s="185" t="s">
        <v>55</v>
      </c>
      <c r="B294" s="185"/>
      <c r="C294" s="185"/>
      <c r="D294" s="185"/>
      <c r="E294" s="185"/>
      <c r="F294" s="185"/>
      <c r="G294" s="185"/>
      <c r="H294" s="185"/>
      <c r="I294" s="185"/>
      <c r="J294" s="185"/>
      <c r="K294" s="185"/>
      <c r="L294" s="185"/>
      <c r="M294" s="185"/>
      <c r="N294" s="185"/>
      <c r="O294" s="185"/>
      <c r="P294" s="185"/>
      <c r="Q294" s="185"/>
      <c r="R294" s="185"/>
      <c r="S294" s="185"/>
      <c r="T294" s="185"/>
      <c r="U294" s="185"/>
      <c r="V294" s="80"/>
      <c r="W294" s="81"/>
      <c r="X294" s="81"/>
      <c r="Y294" s="81"/>
      <c r="Z294" s="81"/>
      <c r="AA294" s="81"/>
      <c r="AB294" s="81"/>
      <c r="AC294" s="81"/>
      <c r="AD294" s="81"/>
    </row>
    <row r="295" spans="1:30" ht="15.75" customHeight="1" x14ac:dyDescent="0.2">
      <c r="A295" s="31" t="s">
        <v>83</v>
      </c>
      <c r="B295" s="186" t="s">
        <v>85</v>
      </c>
      <c r="C295" s="186"/>
      <c r="D295" s="186"/>
      <c r="E295" s="186"/>
      <c r="F295" s="186"/>
      <c r="G295" s="186"/>
      <c r="H295" s="186"/>
      <c r="I295" s="186"/>
      <c r="J295" s="32">
        <v>5</v>
      </c>
      <c r="K295" s="32">
        <v>2</v>
      </c>
      <c r="L295" s="32">
        <v>2</v>
      </c>
      <c r="M295" s="177">
        <v>0</v>
      </c>
      <c r="N295" s="178"/>
      <c r="O295" s="33">
        <f>K295+L295+M295</f>
        <v>4</v>
      </c>
      <c r="P295" s="33">
        <f>Q295-O295</f>
        <v>5</v>
      </c>
      <c r="Q295" s="33">
        <f>ROUND(PRODUCT(J295,25)/14,0)</f>
        <v>9</v>
      </c>
      <c r="R295" s="32" t="s">
        <v>35</v>
      </c>
      <c r="S295" s="32"/>
      <c r="T295" s="34"/>
      <c r="U295" s="34" t="s">
        <v>97</v>
      </c>
      <c r="V295" s="80"/>
      <c r="W295" s="81"/>
      <c r="X295" s="81"/>
      <c r="Y295" s="81"/>
      <c r="Z295" s="81"/>
      <c r="AA295" s="81"/>
      <c r="AB295" s="81"/>
      <c r="AC295" s="81"/>
      <c r="AD295" s="81"/>
    </row>
    <row r="296" spans="1:30" ht="15.75" customHeight="1" x14ac:dyDescent="0.2">
      <c r="A296" s="156" t="s">
        <v>56</v>
      </c>
      <c r="B296" s="157"/>
      <c r="C296" s="157"/>
      <c r="D296" s="157"/>
      <c r="E296" s="157"/>
      <c r="F296" s="157"/>
      <c r="G296" s="157"/>
      <c r="H296" s="157"/>
      <c r="I296" s="157"/>
      <c r="J296" s="157"/>
      <c r="K296" s="157"/>
      <c r="L296" s="157"/>
      <c r="M296" s="157"/>
      <c r="N296" s="157"/>
      <c r="O296" s="157"/>
      <c r="P296" s="157"/>
      <c r="Q296" s="157"/>
      <c r="R296" s="157"/>
      <c r="S296" s="157"/>
      <c r="T296" s="157"/>
      <c r="U296" s="158"/>
      <c r="V296" s="80"/>
      <c r="W296" s="81"/>
      <c r="X296" s="81"/>
      <c r="Y296" s="81"/>
      <c r="Z296" s="81"/>
      <c r="AA296" s="81"/>
      <c r="AB296" s="81"/>
      <c r="AC296" s="81"/>
      <c r="AD296" s="81"/>
    </row>
    <row r="297" spans="1:30" ht="42" customHeight="1" x14ac:dyDescent="0.2">
      <c r="A297" s="31" t="s">
        <v>84</v>
      </c>
      <c r="B297" s="187" t="s">
        <v>118</v>
      </c>
      <c r="C297" s="154"/>
      <c r="D297" s="154"/>
      <c r="E297" s="154"/>
      <c r="F297" s="154"/>
      <c r="G297" s="154"/>
      <c r="H297" s="154"/>
      <c r="I297" s="155"/>
      <c r="J297" s="32">
        <v>5</v>
      </c>
      <c r="K297" s="32">
        <v>2</v>
      </c>
      <c r="L297" s="32">
        <v>2</v>
      </c>
      <c r="M297" s="177">
        <v>0</v>
      </c>
      <c r="N297" s="178"/>
      <c r="O297" s="33">
        <f>K297+L297+M297</f>
        <v>4</v>
      </c>
      <c r="P297" s="33">
        <f>Q297-O297</f>
        <v>5</v>
      </c>
      <c r="Q297" s="33">
        <f>ROUND(PRODUCT(J297,25)/14,0)</f>
        <v>9</v>
      </c>
      <c r="R297" s="32" t="s">
        <v>35</v>
      </c>
      <c r="S297" s="32"/>
      <c r="T297" s="34"/>
      <c r="U297" s="34" t="s">
        <v>97</v>
      </c>
      <c r="V297" s="80"/>
      <c r="W297" s="81"/>
      <c r="X297" s="81"/>
      <c r="Y297" s="81"/>
      <c r="Z297" s="81"/>
      <c r="AA297" s="81"/>
      <c r="AB297" s="81"/>
      <c r="AC297" s="81"/>
      <c r="AD297" s="81"/>
    </row>
    <row r="298" spans="1:30" ht="17.25" customHeight="1" x14ac:dyDescent="0.2">
      <c r="A298" s="156" t="s">
        <v>57</v>
      </c>
      <c r="B298" s="157"/>
      <c r="C298" s="157"/>
      <c r="D298" s="157"/>
      <c r="E298" s="157"/>
      <c r="F298" s="157"/>
      <c r="G298" s="157"/>
      <c r="H298" s="157"/>
      <c r="I298" s="157"/>
      <c r="J298" s="157"/>
      <c r="K298" s="157"/>
      <c r="L298" s="157"/>
      <c r="M298" s="157"/>
      <c r="N298" s="157"/>
      <c r="O298" s="157"/>
      <c r="P298" s="157"/>
      <c r="Q298" s="157"/>
      <c r="R298" s="157"/>
      <c r="S298" s="157"/>
      <c r="T298" s="157"/>
      <c r="U298" s="158"/>
      <c r="V298" s="80"/>
      <c r="W298" s="81"/>
      <c r="X298" s="81"/>
      <c r="Y298" s="81"/>
      <c r="Z298" s="81"/>
      <c r="AA298" s="81"/>
      <c r="AB298" s="81"/>
      <c r="AC298" s="81"/>
      <c r="AD298" s="81"/>
    </row>
    <row r="299" spans="1:30" ht="40.5" customHeight="1" x14ac:dyDescent="0.2">
      <c r="A299" s="31" t="s">
        <v>86</v>
      </c>
      <c r="B299" s="187" t="s">
        <v>119</v>
      </c>
      <c r="C299" s="154"/>
      <c r="D299" s="154"/>
      <c r="E299" s="154"/>
      <c r="F299" s="154"/>
      <c r="G299" s="154"/>
      <c r="H299" s="154"/>
      <c r="I299" s="155"/>
      <c r="J299" s="32">
        <v>5</v>
      </c>
      <c r="K299" s="32">
        <v>2</v>
      </c>
      <c r="L299" s="32">
        <v>2</v>
      </c>
      <c r="M299" s="177">
        <v>0</v>
      </c>
      <c r="N299" s="178"/>
      <c r="O299" s="33">
        <f>K299+L299+M299</f>
        <v>4</v>
      </c>
      <c r="P299" s="33">
        <f>Q299-O299</f>
        <v>5</v>
      </c>
      <c r="Q299" s="33">
        <f>ROUND(PRODUCT(J299,25)/14,0)</f>
        <v>9</v>
      </c>
      <c r="R299" s="32" t="s">
        <v>35</v>
      </c>
      <c r="S299" s="32"/>
      <c r="T299" s="34"/>
      <c r="U299" s="34" t="s">
        <v>97</v>
      </c>
      <c r="V299" s="80"/>
      <c r="W299" s="81"/>
      <c r="X299" s="81"/>
      <c r="Y299" s="81"/>
      <c r="Z299" s="81"/>
      <c r="AA299" s="81"/>
      <c r="AB299" s="81"/>
      <c r="AC299" s="81"/>
      <c r="AD299" s="81"/>
    </row>
    <row r="300" spans="1:30" ht="17.25" customHeight="1" x14ac:dyDescent="0.2">
      <c r="A300" s="182" t="s">
        <v>58</v>
      </c>
      <c r="B300" s="183"/>
      <c r="C300" s="183"/>
      <c r="D300" s="183"/>
      <c r="E300" s="183"/>
      <c r="F300" s="183"/>
      <c r="G300" s="183"/>
      <c r="H300" s="183"/>
      <c r="I300" s="183"/>
      <c r="J300" s="183"/>
      <c r="K300" s="183"/>
      <c r="L300" s="183"/>
      <c r="M300" s="183"/>
      <c r="N300" s="183"/>
      <c r="O300" s="183"/>
      <c r="P300" s="183"/>
      <c r="Q300" s="183"/>
      <c r="R300" s="183"/>
      <c r="S300" s="183"/>
      <c r="T300" s="183"/>
      <c r="U300" s="184"/>
      <c r="V300" s="302" t="s">
        <v>120</v>
      </c>
      <c r="W300" s="302"/>
      <c r="X300" s="302"/>
      <c r="Y300" s="302"/>
      <c r="Z300" s="89"/>
      <c r="AA300" s="59"/>
      <c r="AB300" s="81"/>
      <c r="AC300" s="81"/>
      <c r="AD300" s="81"/>
    </row>
    <row r="301" spans="1:30" s="30" customFormat="1" ht="27.75" customHeight="1" x14ac:dyDescent="0.25">
      <c r="A301" s="31" t="s">
        <v>87</v>
      </c>
      <c r="B301" s="179" t="s">
        <v>238</v>
      </c>
      <c r="C301" s="180"/>
      <c r="D301" s="180"/>
      <c r="E301" s="180"/>
      <c r="F301" s="180"/>
      <c r="G301" s="180"/>
      <c r="H301" s="180"/>
      <c r="I301" s="181"/>
      <c r="J301" s="32">
        <v>5</v>
      </c>
      <c r="K301" s="32">
        <v>2</v>
      </c>
      <c r="L301" s="32">
        <v>2</v>
      </c>
      <c r="M301" s="177">
        <v>0</v>
      </c>
      <c r="N301" s="178"/>
      <c r="O301" s="33">
        <f>K301+L301+M301</f>
        <v>4</v>
      </c>
      <c r="P301" s="33">
        <f>Q301-O301</f>
        <v>5</v>
      </c>
      <c r="Q301" s="33">
        <f>ROUND(PRODUCT(J301,25)/14,0)</f>
        <v>9</v>
      </c>
      <c r="R301" s="32" t="s">
        <v>35</v>
      </c>
      <c r="S301" s="32"/>
      <c r="T301" s="34"/>
      <c r="U301" s="37" t="s">
        <v>98</v>
      </c>
      <c r="V301" s="302"/>
      <c r="W301" s="302"/>
      <c r="X301" s="302"/>
      <c r="Y301" s="302"/>
      <c r="Z301" s="89"/>
      <c r="AA301" s="59"/>
      <c r="AB301" s="81"/>
      <c r="AC301" s="81"/>
      <c r="AD301" s="81"/>
    </row>
    <row r="302" spans="1:30" ht="17.25" customHeight="1" x14ac:dyDescent="0.2">
      <c r="A302" s="182" t="s">
        <v>59</v>
      </c>
      <c r="B302" s="183"/>
      <c r="C302" s="183"/>
      <c r="D302" s="183"/>
      <c r="E302" s="183"/>
      <c r="F302" s="183"/>
      <c r="G302" s="183"/>
      <c r="H302" s="183"/>
      <c r="I302" s="183"/>
      <c r="J302" s="183"/>
      <c r="K302" s="183"/>
      <c r="L302" s="183"/>
      <c r="M302" s="183"/>
      <c r="N302" s="183"/>
      <c r="O302" s="183"/>
      <c r="P302" s="183"/>
      <c r="Q302" s="183"/>
      <c r="R302" s="183"/>
      <c r="S302" s="183"/>
      <c r="T302" s="183"/>
      <c r="U302" s="184"/>
      <c r="V302" s="303" t="s">
        <v>123</v>
      </c>
      <c r="W302" s="304"/>
      <c r="X302" s="304"/>
      <c r="Y302" s="305"/>
      <c r="Z302" s="89"/>
      <c r="AA302" s="59"/>
      <c r="AB302" s="81"/>
      <c r="AC302" s="81"/>
      <c r="AD302" s="81"/>
    </row>
    <row r="303" spans="1:30" ht="17.25" customHeight="1" x14ac:dyDescent="0.2">
      <c r="A303" s="31" t="s">
        <v>88</v>
      </c>
      <c r="B303" s="153" t="s">
        <v>89</v>
      </c>
      <c r="C303" s="154"/>
      <c r="D303" s="154"/>
      <c r="E303" s="154"/>
      <c r="F303" s="154"/>
      <c r="G303" s="154"/>
      <c r="H303" s="154"/>
      <c r="I303" s="155"/>
      <c r="J303" s="32">
        <v>2</v>
      </c>
      <c r="K303" s="32">
        <v>1</v>
      </c>
      <c r="L303" s="32">
        <v>1</v>
      </c>
      <c r="M303" s="177">
        <v>0</v>
      </c>
      <c r="N303" s="178"/>
      <c r="O303" s="33">
        <f>K303+L303+M303</f>
        <v>2</v>
      </c>
      <c r="P303" s="33">
        <f>Q303-O303</f>
        <v>2</v>
      </c>
      <c r="Q303" s="33">
        <f>ROUND(PRODUCT(J303,25)/14,0)</f>
        <v>4</v>
      </c>
      <c r="R303" s="32"/>
      <c r="S303" s="32" t="s">
        <v>31</v>
      </c>
      <c r="T303" s="34"/>
      <c r="U303" s="37" t="s">
        <v>98</v>
      </c>
      <c r="V303" s="297">
        <f>K206+K228+K260+K279</f>
        <v>1</v>
      </c>
      <c r="W303" s="297"/>
      <c r="X303" s="297"/>
      <c r="Y303" s="297"/>
      <c r="Z303" s="295" t="s">
        <v>121</v>
      </c>
      <c r="AA303" s="296"/>
      <c r="AB303" s="81"/>
      <c r="AC303" s="81"/>
      <c r="AD303" s="81"/>
    </row>
    <row r="304" spans="1:30" ht="17.25" customHeight="1" x14ac:dyDescent="0.2">
      <c r="A304" s="31" t="s">
        <v>91</v>
      </c>
      <c r="B304" s="153" t="s">
        <v>90</v>
      </c>
      <c r="C304" s="154"/>
      <c r="D304" s="154"/>
      <c r="E304" s="154"/>
      <c r="F304" s="154"/>
      <c r="G304" s="154"/>
      <c r="H304" s="154"/>
      <c r="I304" s="155"/>
      <c r="J304" s="32">
        <v>3</v>
      </c>
      <c r="K304" s="32">
        <v>0</v>
      </c>
      <c r="L304" s="32">
        <v>0</v>
      </c>
      <c r="M304" s="177">
        <v>3</v>
      </c>
      <c r="N304" s="178"/>
      <c r="O304" s="33">
        <f>K304+L304+M304</f>
        <v>3</v>
      </c>
      <c r="P304" s="33">
        <f t="shared" ref="P304" si="62">Q304-O304</f>
        <v>2</v>
      </c>
      <c r="Q304" s="33">
        <f t="shared" ref="Q304" si="63">ROUND(PRODUCT(J304,25)/14,0)</f>
        <v>5</v>
      </c>
      <c r="R304" s="32"/>
      <c r="S304" s="32" t="s">
        <v>31</v>
      </c>
      <c r="T304" s="34"/>
      <c r="U304" s="37" t="s">
        <v>98</v>
      </c>
      <c r="V304" s="297">
        <f>K207+K229+K261+K280</f>
        <v>1</v>
      </c>
      <c r="W304" s="297"/>
      <c r="X304" s="297"/>
      <c r="Y304" s="297"/>
      <c r="Z304" s="298" t="s">
        <v>122</v>
      </c>
      <c r="AA304" s="299"/>
      <c r="AB304" s="81"/>
      <c r="AC304" s="81"/>
      <c r="AD304" s="81"/>
    </row>
    <row r="305" spans="1:30" ht="17.25" customHeight="1" x14ac:dyDescent="0.2">
      <c r="A305" s="156" t="s">
        <v>60</v>
      </c>
      <c r="B305" s="157"/>
      <c r="C305" s="157"/>
      <c r="D305" s="157"/>
      <c r="E305" s="157"/>
      <c r="F305" s="157"/>
      <c r="G305" s="157"/>
      <c r="H305" s="157"/>
      <c r="I305" s="157"/>
      <c r="J305" s="157"/>
      <c r="K305" s="157"/>
      <c r="L305" s="157"/>
      <c r="M305" s="157"/>
      <c r="N305" s="157"/>
      <c r="O305" s="157"/>
      <c r="P305" s="157"/>
      <c r="Q305" s="157"/>
      <c r="R305" s="157"/>
      <c r="S305" s="157"/>
      <c r="T305" s="157"/>
      <c r="U305" s="158"/>
      <c r="V305" s="300" t="str">
        <f>IF(V303=100%,"Corect",IF(V303&gt;100%,"Ați dublat unele discipline","Ați pierdut unele discipline"))</f>
        <v>Corect</v>
      </c>
      <c r="W305" s="300"/>
      <c r="X305" s="300"/>
      <c r="Y305" s="300"/>
      <c r="Z305" s="301"/>
      <c r="AA305" s="301"/>
      <c r="AB305" s="81"/>
      <c r="AC305" s="81"/>
      <c r="AD305" s="81"/>
    </row>
    <row r="306" spans="1:30" ht="17.25" customHeight="1" x14ac:dyDescent="0.2">
      <c r="A306" s="31" t="s">
        <v>92</v>
      </c>
      <c r="B306" s="153" t="s">
        <v>94</v>
      </c>
      <c r="C306" s="154"/>
      <c r="D306" s="154"/>
      <c r="E306" s="154"/>
      <c r="F306" s="154"/>
      <c r="G306" s="154"/>
      <c r="H306" s="154"/>
      <c r="I306" s="155"/>
      <c r="J306" s="32">
        <v>3</v>
      </c>
      <c r="K306" s="32">
        <v>1</v>
      </c>
      <c r="L306" s="32">
        <v>1</v>
      </c>
      <c r="M306" s="177">
        <v>0</v>
      </c>
      <c r="N306" s="178"/>
      <c r="O306" s="33">
        <f>K306+L306+M306</f>
        <v>2</v>
      </c>
      <c r="P306" s="33">
        <f>Q306-O306</f>
        <v>4</v>
      </c>
      <c r="Q306" s="33">
        <f>ROUND(PRODUCT(J306,25)/12,0)</f>
        <v>6</v>
      </c>
      <c r="R306" s="32" t="s">
        <v>35</v>
      </c>
      <c r="S306" s="32"/>
      <c r="T306" s="34"/>
      <c r="U306" s="34" t="s">
        <v>97</v>
      </c>
      <c r="V306" s="300" t="str">
        <f>IF(V304=100%,"Corect",IF(V304&gt;100%,"Ați dublat unele discipline","Ați pierdut unele discipline"))</f>
        <v>Corect</v>
      </c>
      <c r="W306" s="300"/>
      <c r="X306" s="300"/>
      <c r="Y306" s="300"/>
      <c r="Z306" s="90"/>
      <c r="AA306" s="91"/>
      <c r="AB306" s="81"/>
      <c r="AC306" s="81"/>
      <c r="AD306" s="81"/>
    </row>
    <row r="307" spans="1:30" ht="17.25" customHeight="1" x14ac:dyDescent="0.2">
      <c r="A307" s="31" t="s">
        <v>93</v>
      </c>
      <c r="B307" s="153" t="s">
        <v>95</v>
      </c>
      <c r="C307" s="154"/>
      <c r="D307" s="154"/>
      <c r="E307" s="154"/>
      <c r="F307" s="154"/>
      <c r="G307" s="154"/>
      <c r="H307" s="154"/>
      <c r="I307" s="155"/>
      <c r="J307" s="32">
        <v>2</v>
      </c>
      <c r="K307" s="32">
        <v>0</v>
      </c>
      <c r="L307" s="32">
        <v>0</v>
      </c>
      <c r="M307" s="177">
        <v>3</v>
      </c>
      <c r="N307" s="178"/>
      <c r="O307" s="33">
        <f>K307+L307+M307</f>
        <v>3</v>
      </c>
      <c r="P307" s="33">
        <f t="shared" ref="P307" si="64">Q307-O307</f>
        <v>1</v>
      </c>
      <c r="Q307" s="33">
        <f t="shared" ref="Q307" si="65">ROUND(PRODUCT(J307,25)/12,0)</f>
        <v>4</v>
      </c>
      <c r="R307" s="32"/>
      <c r="S307" s="32" t="s">
        <v>31</v>
      </c>
      <c r="T307" s="34"/>
      <c r="U307" s="37" t="s">
        <v>98</v>
      </c>
      <c r="V307" s="80"/>
      <c r="W307" s="81"/>
      <c r="X307" s="81"/>
      <c r="Y307" s="81"/>
      <c r="Z307" s="81"/>
      <c r="AA307" s="81"/>
      <c r="AB307" s="81"/>
      <c r="AC307" s="81"/>
      <c r="AD307" s="81"/>
    </row>
    <row r="308" spans="1:30" ht="29.25" customHeight="1" x14ac:dyDescent="0.2">
      <c r="A308" s="159" t="s">
        <v>81</v>
      </c>
      <c r="B308" s="160"/>
      <c r="C308" s="160"/>
      <c r="D308" s="160"/>
      <c r="E308" s="160"/>
      <c r="F308" s="160"/>
      <c r="G308" s="160"/>
      <c r="H308" s="160"/>
      <c r="I308" s="161"/>
      <c r="J308" s="35">
        <f>SUM(J295,J297,J299,J301,J303:J304,J306:J307)</f>
        <v>30</v>
      </c>
      <c r="K308" s="35">
        <f t="shared" ref="K308:Q308" si="66">SUM(K295,K297,K299,K301,K303:K304,K306:K307)</f>
        <v>10</v>
      </c>
      <c r="L308" s="35">
        <f t="shared" si="66"/>
        <v>10</v>
      </c>
      <c r="M308" s="174">
        <f t="shared" si="66"/>
        <v>6</v>
      </c>
      <c r="N308" s="176"/>
      <c r="O308" s="35">
        <f t="shared" si="66"/>
        <v>26</v>
      </c>
      <c r="P308" s="35">
        <f t="shared" si="66"/>
        <v>29</v>
      </c>
      <c r="Q308" s="35">
        <f t="shared" si="66"/>
        <v>55</v>
      </c>
      <c r="R308" s="35">
        <f>COUNTIF(R295,"E")+COUNTIF(R297,"E")+COUNTIF(R299,"E")+COUNTIF(R301,"E")+COUNTIF(R303:R304,"E")+COUNTIF(R306:R307,"E")</f>
        <v>5</v>
      </c>
      <c r="S308" s="35">
        <f>COUNTIF(S295,"C")+COUNTIF(S297,"C")+COUNTIF(S299,"C")+COUNTIF(S301,"C")+COUNTIF(S303:S304,"C")+COUNTIF(S306:S307,"C")</f>
        <v>3</v>
      </c>
      <c r="T308" s="35">
        <f>COUNTIF(T295,"VP")+COUNTIF(T297,"VP")+COUNTIF(T299,"VP")+COUNTIF(T301,"VP")+COUNTIF(T303:T304,"VP")+COUNTIF(T306:T307,"VP")</f>
        <v>0</v>
      </c>
      <c r="U308" s="36"/>
      <c r="V308" s="80"/>
      <c r="W308" s="81"/>
      <c r="X308" s="81"/>
      <c r="Y308" s="81"/>
      <c r="Z308" s="81"/>
      <c r="AA308" s="81"/>
      <c r="AB308" s="81"/>
      <c r="AC308" s="81"/>
      <c r="AD308" s="81"/>
    </row>
    <row r="309" spans="1:30" ht="17.25" customHeight="1" x14ac:dyDescent="0.2">
      <c r="A309" s="162" t="s">
        <v>53</v>
      </c>
      <c r="B309" s="163"/>
      <c r="C309" s="163"/>
      <c r="D309" s="163"/>
      <c r="E309" s="163"/>
      <c r="F309" s="163"/>
      <c r="G309" s="163"/>
      <c r="H309" s="163"/>
      <c r="I309" s="163"/>
      <c r="J309" s="164"/>
      <c r="K309" s="35">
        <f>SUM(K295,K297,K299,K301,K303,K304)*14+SUM(K306,K307)*12</f>
        <v>138</v>
      </c>
      <c r="L309" s="35">
        <f t="shared" ref="L309:Q309" si="67">SUM(L295,L297,L299,L301,L303,L304)*14+SUM(L306,L307)*12</f>
        <v>138</v>
      </c>
      <c r="M309" s="174">
        <f t="shared" si="67"/>
        <v>78</v>
      </c>
      <c r="N309" s="176"/>
      <c r="O309" s="35">
        <f t="shared" si="67"/>
        <v>354</v>
      </c>
      <c r="P309" s="35">
        <f t="shared" si="67"/>
        <v>396</v>
      </c>
      <c r="Q309" s="35">
        <f t="shared" si="67"/>
        <v>750</v>
      </c>
      <c r="R309" s="168"/>
      <c r="S309" s="169"/>
      <c r="T309" s="169"/>
      <c r="U309" s="170"/>
      <c r="V309" s="80"/>
      <c r="W309" s="81"/>
      <c r="X309" s="81"/>
      <c r="Y309" s="81"/>
      <c r="Z309" s="81"/>
      <c r="AA309" s="81"/>
      <c r="AB309" s="81"/>
      <c r="AC309" s="81"/>
      <c r="AD309" s="81"/>
    </row>
    <row r="310" spans="1:30" ht="14.25" customHeight="1" x14ac:dyDescent="0.2">
      <c r="A310" s="165"/>
      <c r="B310" s="166"/>
      <c r="C310" s="166"/>
      <c r="D310" s="166"/>
      <c r="E310" s="166"/>
      <c r="F310" s="166"/>
      <c r="G310" s="166"/>
      <c r="H310" s="166"/>
      <c r="I310" s="166"/>
      <c r="J310" s="167"/>
      <c r="K310" s="174">
        <f>SUM(K309:M309)</f>
        <v>354</v>
      </c>
      <c r="L310" s="175"/>
      <c r="M310" s="175"/>
      <c r="N310" s="176"/>
      <c r="O310" s="174">
        <f>SUM(O309:P309)</f>
        <v>750</v>
      </c>
      <c r="P310" s="175"/>
      <c r="Q310" s="176"/>
      <c r="R310" s="171"/>
      <c r="S310" s="172"/>
      <c r="T310" s="172"/>
      <c r="U310" s="173"/>
      <c r="V310" s="80"/>
      <c r="W310" s="81"/>
      <c r="X310" s="81"/>
      <c r="Y310" s="81"/>
      <c r="Z310" s="81"/>
      <c r="AA310" s="81"/>
      <c r="AB310" s="81"/>
      <c r="AC310" s="81"/>
      <c r="AD310" s="81"/>
    </row>
    <row r="311" spans="1:30" x14ac:dyDescent="0.2">
      <c r="V311" s="80"/>
      <c r="W311" s="81"/>
      <c r="X311" s="81"/>
      <c r="Y311" s="81"/>
      <c r="Z311" s="81"/>
      <c r="AA311" s="81"/>
      <c r="AB311" s="81"/>
      <c r="AC311" s="81"/>
      <c r="AD311" s="81"/>
    </row>
    <row r="312" spans="1:30" x14ac:dyDescent="0.2">
      <c r="A312" s="280" t="s">
        <v>99</v>
      </c>
      <c r="B312" s="280"/>
      <c r="C312" s="280"/>
      <c r="D312" s="280"/>
      <c r="E312" s="280"/>
      <c r="F312" s="280"/>
      <c r="G312" s="280"/>
      <c r="H312" s="280"/>
      <c r="I312" s="280"/>
      <c r="J312" s="280"/>
      <c r="K312" s="280"/>
      <c r="L312" s="280"/>
      <c r="M312" s="280"/>
      <c r="N312" s="280"/>
      <c r="O312" s="280"/>
      <c r="P312" s="280"/>
      <c r="Q312" s="280"/>
      <c r="R312" s="280"/>
      <c r="S312" s="280"/>
      <c r="T312" s="280"/>
      <c r="U312" s="280"/>
      <c r="V312" s="80"/>
      <c r="W312" s="81"/>
      <c r="X312" s="81"/>
      <c r="Y312" s="81"/>
      <c r="Z312" s="81"/>
      <c r="AA312" s="81"/>
      <c r="AB312" s="81"/>
      <c r="AC312" s="81"/>
      <c r="AD312" s="81"/>
    </row>
  </sheetData>
  <sheetProtection deleteColumns="0" deleteRows="0" selectLockedCells="1" selectUnlockedCells="1"/>
  <mergeCells count="425">
    <mergeCell ref="M19:U26"/>
    <mergeCell ref="Z303:AA303"/>
    <mergeCell ref="V304:Y304"/>
    <mergeCell ref="Z304:AA304"/>
    <mergeCell ref="V305:Y305"/>
    <mergeCell ref="Z305:AA305"/>
    <mergeCell ref="V306:Y306"/>
    <mergeCell ref="B249:I249"/>
    <mergeCell ref="B250:I250"/>
    <mergeCell ref="B254:I254"/>
    <mergeCell ref="B255:I255"/>
    <mergeCell ref="V300:Y301"/>
    <mergeCell ref="V302:Y302"/>
    <mergeCell ref="V303:Y303"/>
    <mergeCell ref="B283:G284"/>
    <mergeCell ref="B269:I269"/>
    <mergeCell ref="B270:I270"/>
    <mergeCell ref="B271:I271"/>
    <mergeCell ref="Q283:R284"/>
    <mergeCell ref="J284:K284"/>
    <mergeCell ref="O284:P284"/>
    <mergeCell ref="J283:P283"/>
    <mergeCell ref="J285:K285"/>
    <mergeCell ref="B147:U147"/>
    <mergeCell ref="B150:U150"/>
    <mergeCell ref="B154:U154"/>
    <mergeCell ref="B239:I239"/>
    <mergeCell ref="B240:I240"/>
    <mergeCell ref="S3:U3"/>
    <mergeCell ref="S4:U4"/>
    <mergeCell ref="S5:U5"/>
    <mergeCell ref="A13:K13"/>
    <mergeCell ref="A73:A74"/>
    <mergeCell ref="B73:I74"/>
    <mergeCell ref="B178:I178"/>
    <mergeCell ref="A179:I179"/>
    <mergeCell ref="A180:J181"/>
    <mergeCell ref="O109:Q109"/>
    <mergeCell ref="R109:T109"/>
    <mergeCell ref="B111:I111"/>
    <mergeCell ref="A144:U144"/>
    <mergeCell ref="B109:I110"/>
    <mergeCell ref="A83:U84"/>
    <mergeCell ref="A102:U103"/>
    <mergeCell ref="B95:I95"/>
    <mergeCell ref="A7:K8"/>
    <mergeCell ref="M29:U33"/>
    <mergeCell ref="B96:I96"/>
    <mergeCell ref="B97:I97"/>
    <mergeCell ref="A312:U312"/>
    <mergeCell ref="V63:X63"/>
    <mergeCell ref="V82:X82"/>
    <mergeCell ref="V101:X101"/>
    <mergeCell ref="V117:X117"/>
    <mergeCell ref="B213:I213"/>
    <mergeCell ref="A203:I203"/>
    <mergeCell ref="B202:I202"/>
    <mergeCell ref="A204:J205"/>
    <mergeCell ref="R204:U205"/>
    <mergeCell ref="O205:Q205"/>
    <mergeCell ref="B193:I193"/>
    <mergeCell ref="B190:I190"/>
    <mergeCell ref="J187:J188"/>
    <mergeCell ref="R123:T123"/>
    <mergeCell ref="J123:J124"/>
    <mergeCell ref="A200:U200"/>
    <mergeCell ref="B199:I199"/>
    <mergeCell ref="O286:P286"/>
    <mergeCell ref="Q286:R286"/>
    <mergeCell ref="A209:U209"/>
    <mergeCell ref="R210:T210"/>
    <mergeCell ref="V48:X48"/>
    <mergeCell ref="V131:X131"/>
    <mergeCell ref="V286:Y286"/>
    <mergeCell ref="A175:U175"/>
    <mergeCell ref="B176:I176"/>
    <mergeCell ref="A173:U173"/>
    <mergeCell ref="R180:U181"/>
    <mergeCell ref="O181:Q181"/>
    <mergeCell ref="O187:Q187"/>
    <mergeCell ref="B201:I201"/>
    <mergeCell ref="B195:I195"/>
    <mergeCell ref="K227:N227"/>
    <mergeCell ref="B198:I198"/>
    <mergeCell ref="B197:I197"/>
    <mergeCell ref="B174:I174"/>
    <mergeCell ref="A212:U212"/>
    <mergeCell ref="B194:I194"/>
    <mergeCell ref="A186:U186"/>
    <mergeCell ref="B196:I196"/>
    <mergeCell ref="A189:U189"/>
    <mergeCell ref="U187:U188"/>
    <mergeCell ref="A185:U185"/>
    <mergeCell ref="B191:I191"/>
    <mergeCell ref="B192:I192"/>
    <mergeCell ref="B222:I222"/>
    <mergeCell ref="B223:I223"/>
    <mergeCell ref="B217:I217"/>
    <mergeCell ref="B218:I218"/>
    <mergeCell ref="U210:U211"/>
    <mergeCell ref="A225:I225"/>
    <mergeCell ref="A182:J182"/>
    <mergeCell ref="K182:U182"/>
    <mergeCell ref="K205:N205"/>
    <mergeCell ref="K210:N210"/>
    <mergeCell ref="A187:A188"/>
    <mergeCell ref="B187:I188"/>
    <mergeCell ref="A183:J183"/>
    <mergeCell ref="K183:U183"/>
    <mergeCell ref="B215:I215"/>
    <mergeCell ref="B216:I216"/>
    <mergeCell ref="B219:I219"/>
    <mergeCell ref="A220:U220"/>
    <mergeCell ref="B221:I221"/>
    <mergeCell ref="A108:U108"/>
    <mergeCell ref="J109:J110"/>
    <mergeCell ref="A109:A110"/>
    <mergeCell ref="U109:U110"/>
    <mergeCell ref="B145:I146"/>
    <mergeCell ref="B123:I124"/>
    <mergeCell ref="B126:I126"/>
    <mergeCell ref="B131:I131"/>
    <mergeCell ref="B128:I128"/>
    <mergeCell ref="B129:I129"/>
    <mergeCell ref="R145:T145"/>
    <mergeCell ref="U145:U146"/>
    <mergeCell ref="A123:A124"/>
    <mergeCell ref="U123:U124"/>
    <mergeCell ref="B116:I116"/>
    <mergeCell ref="B125:I125"/>
    <mergeCell ref="K109:N109"/>
    <mergeCell ref="A145:A146"/>
    <mergeCell ref="K162:U162"/>
    <mergeCell ref="A171:U171"/>
    <mergeCell ref="B172:I172"/>
    <mergeCell ref="R159:U160"/>
    <mergeCell ref="A158:I158"/>
    <mergeCell ref="A159:J160"/>
    <mergeCell ref="B170:I170"/>
    <mergeCell ref="B114:I114"/>
    <mergeCell ref="B112:I112"/>
    <mergeCell ref="B113:I113"/>
    <mergeCell ref="O145:Q145"/>
    <mergeCell ref="J145:J146"/>
    <mergeCell ref="O160:Q160"/>
    <mergeCell ref="B152:I152"/>
    <mergeCell ref="B148:I148"/>
    <mergeCell ref="K123:N123"/>
    <mergeCell ref="K145:N145"/>
    <mergeCell ref="B151:I151"/>
    <mergeCell ref="B115:I115"/>
    <mergeCell ref="A122:U122"/>
    <mergeCell ref="B127:I127"/>
    <mergeCell ref="B130:I130"/>
    <mergeCell ref="O123:Q123"/>
    <mergeCell ref="B117:I117"/>
    <mergeCell ref="B99:I99"/>
    <mergeCell ref="B100:I100"/>
    <mergeCell ref="A169:U169"/>
    <mergeCell ref="B155:I155"/>
    <mergeCell ref="B149:I149"/>
    <mergeCell ref="B156:I156"/>
    <mergeCell ref="B157:I157"/>
    <mergeCell ref="B75:I75"/>
    <mergeCell ref="B79:I79"/>
    <mergeCell ref="B80:I80"/>
    <mergeCell ref="A90:U90"/>
    <mergeCell ref="J91:J92"/>
    <mergeCell ref="O91:Q91"/>
    <mergeCell ref="R91:T91"/>
    <mergeCell ref="A91:A92"/>
    <mergeCell ref="U91:U92"/>
    <mergeCell ref="B81:I81"/>
    <mergeCell ref="B82:I82"/>
    <mergeCell ref="B91:I92"/>
    <mergeCell ref="K91:N91"/>
    <mergeCell ref="B98:I98"/>
    <mergeCell ref="B101:I101"/>
    <mergeCell ref="B93:I93"/>
    <mergeCell ref="B94:I94"/>
    <mergeCell ref="R73:T73"/>
    <mergeCell ref="U73:U74"/>
    <mergeCell ref="M17:U17"/>
    <mergeCell ref="O73:Q73"/>
    <mergeCell ref="U54:U55"/>
    <mergeCell ref="R38:T38"/>
    <mergeCell ref="A23:K26"/>
    <mergeCell ref="A54:A55"/>
    <mergeCell ref="B48:I48"/>
    <mergeCell ref="B56:I56"/>
    <mergeCell ref="B57:I57"/>
    <mergeCell ref="A72:U72"/>
    <mergeCell ref="J73:J74"/>
    <mergeCell ref="H29:H30"/>
    <mergeCell ref="A28:G28"/>
    <mergeCell ref="G29:G30"/>
    <mergeCell ref="B63:I63"/>
    <mergeCell ref="B58:I58"/>
    <mergeCell ref="B59:I59"/>
    <mergeCell ref="A9:K9"/>
    <mergeCell ref="A10:K10"/>
    <mergeCell ref="B62:I62"/>
    <mergeCell ref="A53:U53"/>
    <mergeCell ref="B61:I61"/>
    <mergeCell ref="J54:J55"/>
    <mergeCell ref="I29:K29"/>
    <mergeCell ref="B29:C29"/>
    <mergeCell ref="O54:Q54"/>
    <mergeCell ref="R54:T54"/>
    <mergeCell ref="B54:I55"/>
    <mergeCell ref="B77:I77"/>
    <mergeCell ref="A6:K6"/>
    <mergeCell ref="P6:R6"/>
    <mergeCell ref="A11:K11"/>
    <mergeCell ref="M9:U12"/>
    <mergeCell ref="A12:K12"/>
    <mergeCell ref="A14:K14"/>
    <mergeCell ref="A15:K15"/>
    <mergeCell ref="A17:K17"/>
    <mergeCell ref="M14:U14"/>
    <mergeCell ref="O38:Q38"/>
    <mergeCell ref="A16:K16"/>
    <mergeCell ref="J38:J39"/>
    <mergeCell ref="A37:U37"/>
    <mergeCell ref="B38:I39"/>
    <mergeCell ref="M18:U18"/>
    <mergeCell ref="A21:K21"/>
    <mergeCell ref="M16:U16"/>
    <mergeCell ref="B76:I76"/>
    <mergeCell ref="B78:I78"/>
    <mergeCell ref="K73:N73"/>
    <mergeCell ref="K54:N54"/>
    <mergeCell ref="A38:A39"/>
    <mergeCell ref="B42:I42"/>
    <mergeCell ref="B40:I40"/>
    <mergeCell ref="B41:I41"/>
    <mergeCell ref="B60:I60"/>
    <mergeCell ref="B45:I45"/>
    <mergeCell ref="K38:N38"/>
    <mergeCell ref="A1:K1"/>
    <mergeCell ref="A3:K3"/>
    <mergeCell ref="B46:I46"/>
    <mergeCell ref="B47:I47"/>
    <mergeCell ref="M1:U1"/>
    <mergeCell ref="M15:U15"/>
    <mergeCell ref="A4:K5"/>
    <mergeCell ref="A35:U35"/>
    <mergeCell ref="A20:K20"/>
    <mergeCell ref="M3:O3"/>
    <mergeCell ref="M5:O5"/>
    <mergeCell ref="D29:F29"/>
    <mergeCell ref="A19:K19"/>
    <mergeCell ref="U38:U39"/>
    <mergeCell ref="B43:I43"/>
    <mergeCell ref="B44:I44"/>
    <mergeCell ref="A2:K2"/>
    <mergeCell ref="P5:R5"/>
    <mergeCell ref="P3:R3"/>
    <mergeCell ref="P4:R4"/>
    <mergeCell ref="M4:O4"/>
    <mergeCell ref="M6:O6"/>
    <mergeCell ref="S6:U6"/>
    <mergeCell ref="A177:U177"/>
    <mergeCell ref="K187:N187"/>
    <mergeCell ref="R187:T187"/>
    <mergeCell ref="B153:I153"/>
    <mergeCell ref="B168:I168"/>
    <mergeCell ref="A161:J161"/>
    <mergeCell ref="K161:U161"/>
    <mergeCell ref="A162:J162"/>
    <mergeCell ref="B214:I214"/>
    <mergeCell ref="A210:A211"/>
    <mergeCell ref="B210:I211"/>
    <mergeCell ref="J210:J211"/>
    <mergeCell ref="O210:Q210"/>
    <mergeCell ref="K165:N165"/>
    <mergeCell ref="K181:N181"/>
    <mergeCell ref="K160:N160"/>
    <mergeCell ref="A164:U164"/>
    <mergeCell ref="J165:J166"/>
    <mergeCell ref="A167:U167"/>
    <mergeCell ref="A165:A166"/>
    <mergeCell ref="B165:I166"/>
    <mergeCell ref="O165:Q165"/>
    <mergeCell ref="R165:T165"/>
    <mergeCell ref="U165:U166"/>
    <mergeCell ref="B241:I241"/>
    <mergeCell ref="B242:I242"/>
    <mergeCell ref="B243:I243"/>
    <mergeCell ref="R232:T232"/>
    <mergeCell ref="U232:U233"/>
    <mergeCell ref="B244:I244"/>
    <mergeCell ref="K232:N232"/>
    <mergeCell ref="B224:I224"/>
    <mergeCell ref="B238:I238"/>
    <mergeCell ref="B237:I237"/>
    <mergeCell ref="A226:J227"/>
    <mergeCell ref="A232:A233"/>
    <mergeCell ref="A231:U231"/>
    <mergeCell ref="J232:J233"/>
    <mergeCell ref="O232:Q232"/>
    <mergeCell ref="R226:U227"/>
    <mergeCell ref="O227:Q227"/>
    <mergeCell ref="B232:I233"/>
    <mergeCell ref="A264:A265"/>
    <mergeCell ref="B264:I265"/>
    <mergeCell ref="J264:J265"/>
    <mergeCell ref="A261:J261"/>
    <mergeCell ref="K261:U261"/>
    <mergeCell ref="B245:I245"/>
    <mergeCell ref="B246:I246"/>
    <mergeCell ref="B247:I247"/>
    <mergeCell ref="K259:N259"/>
    <mergeCell ref="K264:N264"/>
    <mergeCell ref="B256:I256"/>
    <mergeCell ref="B253:I253"/>
    <mergeCell ref="A257:I257"/>
    <mergeCell ref="A258:J259"/>
    <mergeCell ref="S283:U283"/>
    <mergeCell ref="Q287:R287"/>
    <mergeCell ref="H286:I286"/>
    <mergeCell ref="H287:I287"/>
    <mergeCell ref="A287:G287"/>
    <mergeCell ref="H283:I284"/>
    <mergeCell ref="A283:A284"/>
    <mergeCell ref="H285:I285"/>
    <mergeCell ref="A282:B282"/>
    <mergeCell ref="J287:K287"/>
    <mergeCell ref="O287:P287"/>
    <mergeCell ref="L284:N284"/>
    <mergeCell ref="L285:N285"/>
    <mergeCell ref="L286:N286"/>
    <mergeCell ref="L287:N287"/>
    <mergeCell ref="B286:G286"/>
    <mergeCell ref="B285:G285"/>
    <mergeCell ref="J286:K286"/>
    <mergeCell ref="O285:P285"/>
    <mergeCell ref="Q285:R285"/>
    <mergeCell ref="K292:N292"/>
    <mergeCell ref="M293:N293"/>
    <mergeCell ref="A289:U289"/>
    <mergeCell ref="A291:U291"/>
    <mergeCell ref="A292:A293"/>
    <mergeCell ref="B292:I293"/>
    <mergeCell ref="J292:J293"/>
    <mergeCell ref="O292:Q292"/>
    <mergeCell ref="R292:T292"/>
    <mergeCell ref="U292:U293"/>
    <mergeCell ref="B301:I301"/>
    <mergeCell ref="A302:U302"/>
    <mergeCell ref="B303:I303"/>
    <mergeCell ref="A294:U294"/>
    <mergeCell ref="B295:I295"/>
    <mergeCell ref="A296:U296"/>
    <mergeCell ref="B297:I297"/>
    <mergeCell ref="A298:U298"/>
    <mergeCell ref="M301:N301"/>
    <mergeCell ref="M303:N303"/>
    <mergeCell ref="M295:N295"/>
    <mergeCell ref="M297:N297"/>
    <mergeCell ref="M299:N299"/>
    <mergeCell ref="B299:I299"/>
    <mergeCell ref="A300:U300"/>
    <mergeCell ref="B304:I304"/>
    <mergeCell ref="A305:U305"/>
    <mergeCell ref="B306:I306"/>
    <mergeCell ref="B307:I307"/>
    <mergeCell ref="A308:I308"/>
    <mergeCell ref="A309:J310"/>
    <mergeCell ref="R309:U310"/>
    <mergeCell ref="O310:Q310"/>
    <mergeCell ref="M304:N304"/>
    <mergeCell ref="M306:N306"/>
    <mergeCell ref="M307:N307"/>
    <mergeCell ref="M308:N308"/>
    <mergeCell ref="M309:N309"/>
    <mergeCell ref="K310:N310"/>
    <mergeCell ref="B275:I275"/>
    <mergeCell ref="A276:I276"/>
    <mergeCell ref="A277:J278"/>
    <mergeCell ref="B274:I274"/>
    <mergeCell ref="B248:I248"/>
    <mergeCell ref="U264:U265"/>
    <mergeCell ref="A263:U263"/>
    <mergeCell ref="V3:Y3"/>
    <mergeCell ref="V4:Y4"/>
    <mergeCell ref="V5:Y5"/>
    <mergeCell ref="V6:Y6"/>
    <mergeCell ref="V8:Y8"/>
    <mergeCell ref="V9:Y9"/>
    <mergeCell ref="V33:W33"/>
    <mergeCell ref="V31:W31"/>
    <mergeCell ref="V32:W32"/>
    <mergeCell ref="V11:Y16"/>
    <mergeCell ref="R258:U259"/>
    <mergeCell ref="O264:Q264"/>
    <mergeCell ref="O259:Q259"/>
    <mergeCell ref="A266:U266"/>
    <mergeCell ref="B267:I267"/>
    <mergeCell ref="B268:I268"/>
    <mergeCell ref="R264:T264"/>
    <mergeCell ref="A279:J279"/>
    <mergeCell ref="K279:U279"/>
    <mergeCell ref="A280:J280"/>
    <mergeCell ref="K280:U280"/>
    <mergeCell ref="A206:J206"/>
    <mergeCell ref="A207:J207"/>
    <mergeCell ref="K206:U206"/>
    <mergeCell ref="K207:U207"/>
    <mergeCell ref="A228:J228"/>
    <mergeCell ref="A229:J229"/>
    <mergeCell ref="K228:U228"/>
    <mergeCell ref="K229:U229"/>
    <mergeCell ref="A260:J260"/>
    <mergeCell ref="K260:U260"/>
    <mergeCell ref="R277:U278"/>
    <mergeCell ref="O278:Q278"/>
    <mergeCell ref="B272:I272"/>
    <mergeCell ref="A273:U273"/>
    <mergeCell ref="K278:N278"/>
    <mergeCell ref="A234:U234"/>
    <mergeCell ref="B235:I235"/>
    <mergeCell ref="B236:I236"/>
    <mergeCell ref="B251:I251"/>
    <mergeCell ref="A252:U252"/>
  </mergeCells>
  <phoneticPr fontId="5" type="noConversion"/>
  <conditionalFormatting sqref="V286 L32:L33 V3:V9 V31:V33">
    <cfRule type="cellIs" dxfId="29" priority="155" operator="equal">
      <formula>"E bine"</formula>
    </cfRule>
  </conditionalFormatting>
  <conditionalFormatting sqref="V286 V3:V9 V31:V33">
    <cfRule type="cellIs" dxfId="28" priority="154" operator="equal">
      <formula>"NU e bine"</formula>
    </cfRule>
  </conditionalFormatting>
  <conditionalFormatting sqref="V31:W33 V3:V9">
    <cfRule type="cellIs" dxfId="27" priority="147" operator="equal">
      <formula>"Suma trebuie să fie 52"</formula>
    </cfRule>
    <cfRule type="cellIs" dxfId="26" priority="148" operator="equal">
      <formula>"Corect"</formula>
    </cfRule>
    <cfRule type="cellIs" dxfId="25" priority="149" operator="equal">
      <formula>SUM($B$31:$J$31)</formula>
    </cfRule>
    <cfRule type="cellIs" dxfId="24" priority="150" operator="lessThan">
      <formula>"(SUM(B28:K28)=52"</formula>
    </cfRule>
    <cfRule type="cellIs" dxfId="23" priority="151" operator="equal">
      <formula>52</formula>
    </cfRule>
    <cfRule type="cellIs" dxfId="22" priority="152" operator="equal">
      <formula>$K$31</formula>
    </cfRule>
    <cfRule type="cellIs" dxfId="21" priority="153" operator="equal">
      <formula>$B$31:$K$31=52</formula>
    </cfRule>
  </conditionalFormatting>
  <conditionalFormatting sqref="V286:W286 V31:W33 V3:V9">
    <cfRule type="cellIs" dxfId="20" priority="142" operator="equal">
      <formula>"Suma trebuie să fie 52"</formula>
    </cfRule>
    <cfRule type="cellIs" dxfId="19" priority="146" operator="equal">
      <formula>"Corect"</formula>
    </cfRule>
  </conditionalFormatting>
  <conditionalFormatting sqref="V286:Y286 V31:W33">
    <cfRule type="cellIs" dxfId="18" priority="145" operator="equal">
      <formula>"Corect"</formula>
    </cfRule>
  </conditionalFormatting>
  <conditionalFormatting sqref="V48:X51 V63:X68 V82:X88 V101:X102 V117:X120 V131:X142">
    <cfRule type="cellIs" dxfId="17" priority="143" operator="equal">
      <formula>"E trebuie să fie cel puțin egal cu C+VP"</formula>
    </cfRule>
    <cfRule type="cellIs" dxfId="16" priority="144" operator="equal">
      <formula>"Corect"</formula>
    </cfRule>
  </conditionalFormatting>
  <conditionalFormatting sqref="V286:W286">
    <cfRule type="cellIs" dxfId="15" priority="118" operator="equal">
      <formula>"Nu corespunde cu tabelul de opționale"</formula>
    </cfRule>
    <cfRule type="cellIs" dxfId="14" priority="121" operator="equal">
      <formula>"Suma trebuie să fie 52"</formula>
    </cfRule>
    <cfRule type="cellIs" dxfId="13" priority="122" operator="equal">
      <formula>"Corect"</formula>
    </cfRule>
    <cfRule type="cellIs" dxfId="12" priority="123" operator="equal">
      <formula>SUM($B$31:$J$31)</formula>
    </cfRule>
    <cfRule type="cellIs" dxfId="11" priority="124" operator="lessThan">
      <formula>"(SUM(B28:K28)=52"</formula>
    </cfRule>
    <cfRule type="cellIs" dxfId="10" priority="125" operator="equal">
      <formula>52</formula>
    </cfRule>
    <cfRule type="cellIs" dxfId="9" priority="126" operator="equal">
      <formula>$K$31</formula>
    </cfRule>
    <cfRule type="cellIs" dxfId="8" priority="127" operator="equal">
      <formula>$B$31:$K$31=52</formula>
    </cfRule>
  </conditionalFormatting>
  <conditionalFormatting sqref="V3:V9">
    <cfRule type="cellIs" dxfId="7" priority="106" operator="equal">
      <formula>"Trebuie alocate cel puțin 20 de ore pe săptămână"</formula>
    </cfRule>
  </conditionalFormatting>
  <conditionalFormatting sqref="V31:W31">
    <cfRule type="cellIs" dxfId="6" priority="8" operator="equal">
      <formula>"Correct"</formula>
    </cfRule>
  </conditionalFormatting>
  <conditionalFormatting sqref="V306">
    <cfRule type="cellIs" dxfId="5" priority="4" operator="equal">
      <formula>"Ați dublat unele discipline"</formula>
    </cfRule>
    <cfRule type="cellIs" dxfId="4" priority="5" operator="equal">
      <formula>"Ați pierdut unele discipline"</formula>
    </cfRule>
    <cfRule type="cellIs" dxfId="3" priority="6" operator="equal">
      <formula>"Corect"</formula>
    </cfRule>
  </conditionalFormatting>
  <conditionalFormatting sqref="V305">
    <cfRule type="cellIs" dxfId="2" priority="1" operator="equal">
      <formula>"Ați dublat unele discipline"</formula>
    </cfRule>
    <cfRule type="cellIs" dxfId="1" priority="2" operator="equal">
      <formula>"Ați pierdut unele discipline"</formula>
    </cfRule>
    <cfRule type="cellIs" dxfId="0" priority="3" operator="equal">
      <formula>"Corect"</formula>
    </cfRule>
  </conditionalFormatting>
  <dataValidations count="13">
    <dataValidation type="list" allowBlank="1" showInputMessage="1" showErrorMessage="1" sqref="S306:S307 S301 S297 S295 S303:S304 S299 S172 S155:S157 S152:S153 S170 S47 S100 S81 S148:S149 S168 S174 S176 S178">
      <formula1>$S$39</formula1>
    </dataValidation>
    <dataValidation type="list" allowBlank="1" showInputMessage="1" showErrorMessage="1" sqref="R306:R307 R301 R297 R295 R303:R304 R299 R172 R155:R157 R152:R153 R170 R81 R47 R100 R148:R149 R168 R174 R176 R178">
      <formula1>$R$39</formula1>
    </dataValidation>
    <dataValidation type="list" allowBlank="1" showInputMessage="1" showErrorMessage="1" sqref="T306:T307 T301 T297 T295 T303:T304 T299 T100 T81 T47 T170 T148:T149 T151:T153 T155:T157 T172 T168 T174 T176 T178">
      <formula1>$T$39</formula1>
    </dataValidation>
    <dataValidation type="list" allowBlank="1" showInputMessage="1" showErrorMessage="1" sqref="B201:I201 B274:I274">
      <formula1>$B$38:$B$181</formula1>
    </dataValidation>
    <dataValidation type="list" allowBlank="1" showInputMessage="1" showErrorMessage="1" sqref="U178 U81 U47 U170 U100 U155:U157 U148:U149 U151:U153 U172 U168 U174 U176">
      <formula1>$P$36:$T$36</formula1>
    </dataValidation>
    <dataValidation type="list" allowBlank="1" showInputMessage="1" showErrorMessage="1" sqref="S40:S46 S56:S62 S75:S80 S93:S99 S111:S116 S125:S130">
      <formula1>$S$37</formula1>
    </dataValidation>
    <dataValidation type="list" allowBlank="1" showInputMessage="1" showErrorMessage="1" sqref="R40:R46 R56:R62 R75:R80 R93:R99 R111:R116 R125:R130">
      <formula1>$R$37</formula1>
    </dataValidation>
    <dataValidation type="list" allowBlank="1" showInputMessage="1" showErrorMessage="1" sqref="T40:T46 T56:T62 T75:T80 T93:T99 T111:T116 T125:T130">
      <formula1>$T$37</formula1>
    </dataValidation>
    <dataValidation type="list" allowBlank="1" showInputMessage="1" showErrorMessage="1" sqref="U40:U46 U125:U130 U111:U116 U93:U99 U75:U80 U56:U62">
      <formula1>#REF!</formula1>
    </dataValidation>
    <dataValidation type="list" allowBlank="1" showInputMessage="1" showErrorMessage="1" sqref="B190:I190">
      <formula1>$B$37:$B$198</formula1>
    </dataValidation>
    <dataValidation type="list" allowBlank="1" showInputMessage="1" showErrorMessage="1" sqref="B191:I198">
      <formula1>$B$38:$B$198</formula1>
    </dataValidation>
    <dataValidation type="list" allowBlank="1" showInputMessage="1" showErrorMessage="1" sqref="B213:I213 B235:I235">
      <formula1>$B$37:$B$201</formula1>
    </dataValidation>
    <dataValidation type="list" allowBlank="1" showInputMessage="1" showErrorMessage="1" sqref="B214:I218 B267:I271 B253:I255 B236:I250 B221:I223">
      <formula1>$B$38:$B$202</formula1>
    </dataValidation>
  </dataValidations>
  <pageMargins left="0.70866141732283461" right="0.70866141732283461" top="0.74803149606299213" bottom="0.74803149606299213" header="0.31496062992125984" footer="0.31496062992125984"/>
  <pageSetup paperSize="9" orientation="landscape" blackAndWhite="1" r:id="rId1"/>
  <headerFooter>
    <oddHeader>&amp;RPag. &amp;P</oddHeader>
    <oddFooter>&amp;LRECTOR,
Acad.Prof.univ.dr. Ioan Aurel POP&amp;CDECAN,
Prof.univ.dr. Liviu MALIȚA&amp;RDIRECTOR DE DEPARTAMENT,
Lect.univ.dr. Ligia SMARANDACHE</oddFooter>
  </headerFooter>
  <ignoredErrors>
    <ignoredError sqref="M286"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D0BA68A0F55164B9EFEEE1DB10F7A72" ma:contentTypeVersion="0" ma:contentTypeDescription="Create a new document." ma:contentTypeScope="" ma:versionID="256db6f1566a475ca9409f6286ac638b">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B2A62719-E185-4A1A-9973-4599E5556D4C}">
  <ds:schemaRefs>
    <ds:schemaRef ds:uri="http://schemas.microsoft.com/sharepoint/v3/contenttype/forms"/>
  </ds:schemaRefs>
</ds:datastoreItem>
</file>

<file path=customXml/itemProps2.xml><?xml version="1.0" encoding="utf-8"?>
<ds:datastoreItem xmlns:ds="http://schemas.openxmlformats.org/officeDocument/2006/customXml" ds:itemID="{FD48B5A7-4BE7-44CD-9457-2891D98642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358215F-3860-4B2C-9B99-E0DC1BAD3E4E}">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Gelu</dc:creator>
  <cp:lastModifiedBy>Gelu Gherghin</cp:lastModifiedBy>
  <cp:lastPrinted>2019-02-12T09:02:21Z</cp:lastPrinted>
  <dcterms:created xsi:type="dcterms:W3CDTF">2013-06-27T08:19:59Z</dcterms:created>
  <dcterms:modified xsi:type="dcterms:W3CDTF">2019-02-12T09:03:42Z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0x010100AD0BA68A0F55164B9EFEEE1DB10F7A72</vt:lpwstr>
  </property>
</Properties>
</file>